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S9FlMFtSgE37As6adVsV+3exK1TcVZbBBflJpxkSxAbzUxGWF9f9EdoBAP2w8xMoov/D/NpAGOY5qcjkCWkeuQ==" workbookSaltValue="6qe6RSMOQop8zXatjlPGP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AG298" i="83" s="1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K298" i="83"/>
  <c r="AI298" i="83"/>
  <c r="AH298" i="83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O161" i="83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<sst xmlns="http://schemas.openxmlformats.org/spreadsheetml/2006/main" count="65920" uniqueCount="755">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</sst>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47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1</v>
      </c>
      <c r="AC3" s="2">
        <f>SUMIFS(PERSALDATA!$H$2:$H$20871,PERSALDATA!$A$2:$A$20871,WORKING!A3,PERSALDATA!$D$2:$D$20871,WORKING!B3,PERSALDATA!$E$2:$E$20871,WORKING!C3)</f>
        <v>8000</v>
      </c>
    </row>
    <row r="4" spans="1:29" x14ac:dyDescent="0.25">
      <c r="A4" s="2">
        <f>Results!$D$3</f>
        <v>47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0.64227706868589174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5.1310693854884827E-2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5.3665562050514461E-2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0.15411349449723827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8.0661945263848872E-2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5.8946564460992616E-4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1.7381770003011884E-2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7.4079006207122225E-2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7.1775046796953429E-2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7.0775046796953442E-2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6.8775046796953426E-2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1.1874472167114559E-2</v>
      </c>
      <c r="AB4" s="2">
        <f>SUMIFS(PERSALDATA!$G$2:$G$20871,PERSALDATA!$A$2:$A$20871,WORKING!A4,PERSALDATA!$D$2:$D$20871,WORKING!B4,PERSALDATA!$E$2:$E$20871,WORKING!C4,PERSALDATA!$F$2:$F$20871,"S&amp;W: BASIC SALARY (RES)")</f>
        <v>3</v>
      </c>
      <c r="AC4" s="2">
        <f>SUMIFS(PERSALDATA!$H$2:$H$20871,PERSALDATA!$A$2:$A$20871,WORKING!A4,PERSALDATA!$D$2:$D$20871,WORKING!B4,PERSALDATA!$E$2:$E$20871,WORKING!C4)</f>
        <v>257148.15</v>
      </c>
    </row>
    <row r="5" spans="1:29" x14ac:dyDescent="0.25">
      <c r="A5" s="2">
        <f>Results!$D$3</f>
        <v>47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47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47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0.7071605109187824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3.9273222046044991E-2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2.7640357132642231E-2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8.9001949967107991E-3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8.2292153126937578E-2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6.8947588995740897E-2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3.7366558164244441E-4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6.5412307201498779E-2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7.5051423001696316E-2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7.0957978725577672E-2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6.9957978725577658E-2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6.7957978725577656E-2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1.3345407362381666E-2</v>
      </c>
      <c r="AB7" s="2">
        <f>SUMIFS(PERSALDATA!$G$2:$G$20871,PERSALDATA!$A$2:$A$20871,WORKING!A7,PERSALDATA!$D$2:$D$20871,WORKING!B7,PERSALDATA!$E$2:$E$20871,WORKING!C7,PERSALDATA!$F$2:$F$20871,"S&amp;W: BASIC SALARY (RES)")</f>
        <v>4</v>
      </c>
      <c r="AC7" s="2">
        <f>SUMIFS(PERSALDATA!$H$2:$H$20871,PERSALDATA!$A$2:$A$20871,WORKING!A7,PERSALDATA!$D$2:$D$20871,WORKING!B7,PERSALDATA!$E$2:$E$20871,WORKING!C7)</f>
        <v>748904.94</v>
      </c>
    </row>
    <row r="8" spans="1:29" x14ac:dyDescent="0.25">
      <c r="A8" s="2">
        <f>Results!$D$3</f>
        <v>47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0.67830411221992948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5.3783856674952217E-2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5.0151830426727863E-2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1.2658281619810441E-2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9.355294989472758E-2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8.817878150353653E-2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2.3087689910182594E-2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2.8249775013316266E-4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7.349820218609486E-2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7.090177594415363E-2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6.9901775944153643E-2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6.7901775944153628E-2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1.2840190828926169E-2</v>
      </c>
      <c r="AB8" s="2">
        <f>SUMIFS(PERSALDATA!$G$2:$G$20871,PERSALDATA!$A$2:$A$20871,WORKING!A8,PERSALDATA!$D$2:$D$20871,WORKING!B8,PERSALDATA!$E$2:$E$20871,WORKING!C8,PERSALDATA!$F$2:$F$20871,"S&amp;W: BASIC SALARY (RES)")</f>
        <v>5</v>
      </c>
      <c r="AC8" s="2">
        <f>SUMIFS(PERSALDATA!$H$2:$H$20871,PERSALDATA!$A$2:$A$20871,WORKING!A8,PERSALDATA!$D$2:$D$20871,WORKING!B8,PERSALDATA!$E$2:$E$20871,WORKING!C8)</f>
        <v>1238239.9500000002</v>
      </c>
    </row>
    <row r="9" spans="1:29" x14ac:dyDescent="0.25">
      <c r="A9" s="2">
        <f>Results!$D$3</f>
        <v>47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0.69960535154335646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4.2181504610419175E-2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3.9623102221448006E-2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5.8266715223835039E-3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0.10063324557052045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9.094801503234462E-2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2.3375271792664947E-4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2.0948356781601261E-2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7.4397509669157244E-2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7.1113267661343335E-2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7.0113267661343348E-2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6.8113267661343346E-2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1.2892648492351576E-2</v>
      </c>
      <c r="AB9" s="2">
        <f>SUMIFS(PERSALDATA!$G$2:$G$20871,PERSALDATA!$A$2:$A$20871,WORKING!A9,PERSALDATA!$D$2:$D$20871,WORKING!B9,PERSALDATA!$E$2:$E$20871,WORKING!C9,PERSALDATA!$F$2:$F$20871,"S&amp;W: BASIC SALARY (RES)")</f>
        <v>2</v>
      </c>
      <c r="AC9" s="2">
        <f>SUMIFS(PERSALDATA!$H$2:$H$20871,PERSALDATA!$A$2:$A$20871,WORKING!A9,PERSALDATA!$D$2:$D$20871,WORKING!B9,PERSALDATA!$E$2:$E$20871,WORKING!C9)</f>
        <v>423995.06999999995</v>
      </c>
    </row>
    <row r="10" spans="1:29" x14ac:dyDescent="0.25">
      <c r="A10" s="2">
        <f>Results!$D$3</f>
        <v>47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0.70997633715700303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0.13699070360370411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3.8442172114911612E-2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2.2098179149424451E-2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0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9.2296013357912945E-2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0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1.9659461704380233E-4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7.3078394919266723E-2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6.9615578278850884E-2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6.8615578278850883E-2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6.6615578278850895E-2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1.4420418499020669E-2</v>
      </c>
      <c r="AB10" s="2">
        <f>SUMIFS(PERSALDATA!$G$2:$G$20871,PERSALDATA!$A$2:$A$20871,WORKING!A10,PERSALDATA!$D$2:$D$20871,WORKING!B10,PERSALDATA!$E$2:$E$20871,WORKING!C10,PERSALDATA!$F$2:$F$20871,"S&amp;W: BASIC SALARY (RES)")</f>
        <v>1</v>
      </c>
      <c r="AC10" s="2">
        <f>SUMIFS(PERSALDATA!$H$2:$H$20871,PERSALDATA!$A$2:$A$20871,WORKING!A10,PERSALDATA!$D$2:$D$20871,WORKING!B10,PERSALDATA!$E$2:$E$20871,WORKING!C10)</f>
        <v>148274.66</v>
      </c>
    </row>
    <row r="11" spans="1:29" x14ac:dyDescent="0.25">
      <c r="A11" s="2">
        <f>Results!$D$3</f>
        <v>47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0.72539270599936878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0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0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6.0456221975908643E-3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0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0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1.6655806823495509E-4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0.2683951137348054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7.5999999999999998E-2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7.0000000000000007E-2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6.9000000000000006E-2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6.7000000000000004E-2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1.4997501628976475E-2</v>
      </c>
      <c r="AB11" s="2">
        <f>SUMIFS(PERSALDATA!$G$2:$G$20871,PERSALDATA!$A$2:$A$20871,WORKING!A11,PERSALDATA!$D$2:$D$20871,WORKING!B11,PERSALDATA!$E$2:$E$20871,WORKING!C11,PERSALDATA!$F$2:$F$20871,"S&amp;W: BASIC SALARY (RES)")</f>
        <v>2</v>
      </c>
      <c r="AC11" s="2">
        <f>SUMIFS(PERSALDATA!$H$2:$H$20871,PERSALDATA!$A$2:$A$20871,WORKING!A11,PERSALDATA!$D$2:$D$20871,WORKING!B11,PERSALDATA!$E$2:$E$20871,WORKING!C11)</f>
        <v>840067.38</v>
      </c>
    </row>
    <row r="12" spans="1:29" x14ac:dyDescent="0.25">
      <c r="A12" s="2">
        <f>Results!$D$3</f>
        <v>47</v>
      </c>
      <c r="B12" s="2">
        <v>1</v>
      </c>
      <c r="C12" s="2">
        <v>10</v>
      </c>
      <c r="D12" s="62" t="str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/>
      </c>
      <c r="E12" s="62" t="str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/>
      </c>
      <c r="F12" s="62" t="str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/>
      </c>
      <c r="G12" s="69" t="str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/>
      </c>
      <c r="H12" s="62" t="str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/>
      </c>
      <c r="I12" s="62" t="str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/>
      </c>
      <c r="J12" s="62" t="str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/>
      </c>
      <c r="K12" s="62" t="str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/>
      </c>
      <c r="L12" s="62" t="str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/>
      </c>
      <c r="M12" s="62" t="str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/>
      </c>
      <c r="N12" s="62" t="str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/>
      </c>
      <c r="O12" s="62" t="str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/>
      </c>
      <c r="P12" s="62" t="str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/>
      </c>
      <c r="Q12" s="62" t="str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/>
      </c>
      <c r="R12" s="62" t="str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/>
      </c>
      <c r="S12" s="62" t="str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/>
      </c>
      <c r="T12" s="62" t="str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/>
      </c>
      <c r="U12" s="62" t="str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/>
      </c>
      <c r="V12" s="62" t="str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/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0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47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0.71000665112251216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5.2601300022041303E-2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0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1.4723837591400146E-3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5.9627464426411682E-3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7.8992262394625964E-2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1.4814362052264874E-2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1.1177752977684248E-4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0.13603851667699773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1.4908882140413729E-2</v>
      </c>
      <c r="AB13" s="2">
        <f>SUMIFS(PERSALDATA!$G$2:$G$20871,PERSALDATA!$A$2:$A$20871,WORKING!A13,PERSALDATA!$D$2:$D$20871,WORKING!B13,PERSALDATA!$E$2:$E$20871,WORKING!C13,PERSALDATA!$F$2:$F$20871,"S&amp;W: BASIC SALARY (RES)")</f>
        <v>8</v>
      </c>
      <c r="AC13" s="2">
        <f>SUMIFS(PERSALDATA!$H$2:$H$20871,PERSALDATA!$A$2:$A$20871,WORKING!A13,PERSALDATA!$D$2:$D$20871,WORKING!B13,PERSALDATA!$E$2:$E$20871,WORKING!C13)</f>
        <v>4172573.870000001</v>
      </c>
    </row>
    <row r="14" spans="1:29" x14ac:dyDescent="0.25">
      <c r="A14" s="2">
        <f>Results!$D$3</f>
        <v>47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0.69810104238141713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2.8527414586414383E-2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0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9.0752883037391249E-2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3.2258538655589371E-2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1.0221617256509451E-4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0.15025790516662277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1.4998466757411521E-2</v>
      </c>
      <c r="AB14" s="2">
        <f>SUMIFS(PERSALDATA!$G$2:$G$20871,PERSALDATA!$A$2:$A$20871,WORKING!A14,PERSALDATA!$D$2:$D$20871,WORKING!B14,PERSALDATA!$E$2:$E$20871,WORKING!C14,PERSALDATA!$F$2:$F$20871,"S&amp;W: BASIC SALARY (RES)")</f>
        <v>1</v>
      </c>
      <c r="AC14" s="2">
        <f>SUMIFS(PERSALDATA!$H$2:$H$20871,PERSALDATA!$A$2:$A$20871,WORKING!A14,PERSALDATA!$D$2:$D$20871,WORKING!B14,PERSALDATA!$E$2:$E$20871,WORKING!C14)</f>
        <v>684431.81</v>
      </c>
    </row>
    <row r="15" spans="1:29" x14ac:dyDescent="0.25">
      <c r="A15" s="2">
        <f>Results!$D$3</f>
        <v>47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0.62853148699798644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5.2377623916498868E-2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2.3713809803996837E-2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1.4702308590398894E-2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8.170888798439413E-2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3.0735223637243729E-2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7.389177507071166E-5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0.16815676729441034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0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1.4422649847458002E-2</v>
      </c>
      <c r="AB15" s="2">
        <f>SUMIFS(PERSALDATA!$G$2:$G$20871,PERSALDATA!$A$2:$A$20871,WORKING!A15,PERSALDATA!$D$2:$D$20871,WORKING!B15,PERSALDATA!$E$2:$E$20871,WORKING!C15,PERSALDATA!$F$2:$F$20871,"S&amp;W: BASIC SALARY (RES)")</f>
        <v>2</v>
      </c>
      <c r="AC15" s="2">
        <f>SUMIFS(PERSALDATA!$H$2:$H$20871,PERSALDATA!$A$2:$A$20871,WORKING!A15,PERSALDATA!$D$2:$D$20871,WORKING!B15,PERSALDATA!$E$2:$E$20871,WORKING!C15)</f>
        <v>1893580.1700000002</v>
      </c>
    </row>
    <row r="16" spans="1:29" x14ac:dyDescent="0.25">
      <c r="A16" s="2">
        <f>Results!$D$3</f>
        <v>47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0.59996234810467186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3.2925173193907024E-2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1.0187757853076086E-2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2.0073336447798219E-2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7.7994990737261405E-2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6.2918038435840647E-5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0.25879347562484945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1.4545139814910346E-2</v>
      </c>
      <c r="AB16" s="2">
        <f>SUMIFS(PERSALDATA!$G$2:$G$20871,PERSALDATA!$A$2:$A$20871,WORKING!A16,PERSALDATA!$D$2:$D$20871,WORKING!B16,PERSALDATA!$E$2:$E$20871,WORKING!C16,PERSALDATA!$F$2:$F$20871,"S&amp;W: BASIC SALARY (RES)")</f>
        <v>3</v>
      </c>
      <c r="AC16" s="2">
        <f>SUMIFS(PERSALDATA!$H$2:$H$20871,PERSALDATA!$A$2:$A$20871,WORKING!A16,PERSALDATA!$D$2:$D$20871,WORKING!B16,PERSALDATA!$E$2:$E$20871,WORKING!C16)</f>
        <v>3335768.33</v>
      </c>
    </row>
    <row r="17" spans="1:29" x14ac:dyDescent="0.25">
      <c r="A17" s="2">
        <f>Results!$D$3</f>
        <v>47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0.61908629362135903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4.8916484541188847E-2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8.0481131693615066E-2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3.8412331583943351E-5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0.25147767781225322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1.4999423815026242E-2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1821290.12</v>
      </c>
    </row>
    <row r="18" spans="1:29" x14ac:dyDescent="0.25">
      <c r="A18" s="2">
        <f>Results!$D$3</f>
        <v>47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47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47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47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47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47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47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47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47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47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47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47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47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47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47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47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47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47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47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47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47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47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47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47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47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47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47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47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47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47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47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47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47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47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47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47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47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47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47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47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47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47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47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47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47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47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47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47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47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47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47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47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47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47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47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47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47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47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47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47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47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47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47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47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47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47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47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47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47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47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47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47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47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47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47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47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47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47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47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47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47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47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47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47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47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47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47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47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47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47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47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47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47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47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47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47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47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47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47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47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47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47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47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47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47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47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47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47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47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47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47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47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47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47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47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47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47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47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47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47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47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47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47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47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47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47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47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47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47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47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47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47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47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47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47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47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47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47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47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47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47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47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47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47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47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47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47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47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47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47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47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47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47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47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47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47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47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47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47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47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47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47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47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47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47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47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47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47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47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47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47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47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47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47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47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47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47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47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47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47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47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47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47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47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47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47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47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47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47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47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47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47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47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47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47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47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47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47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47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47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47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47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47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47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47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47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47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47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47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47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47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47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47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47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47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47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47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47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47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47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47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47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47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47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47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47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47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47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47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47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47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47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47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47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47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47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47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47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47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47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47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47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47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47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47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47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47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47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47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47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47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47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47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47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47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47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47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47</v>
      </c>
      <c r="E3" s="74" t="str">
        <f>INDEX(MAPs!$I$7:$J$54,MATCH(Results!$D$3,MAPs!$I$7:$I$54,0),2)</f>
        <v>National Center for Public Service Innovation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10.64516129032258</v>
      </c>
      <c r="N9" s="148">
        <f>IFERROR(SUMIFS('Employee Profile (2)'!C$4:C$50,'Employee Profile (2)'!$B$4:$B$50,Results!$D$3),"")</f>
        <v>0.32258064516129031</v>
      </c>
      <c r="O9" s="150" t="s">
        <v>620</v>
      </c>
      <c r="P9" s="143">
        <f>IFERROR(INDEX('Employee Profile (2)'!$AC$4:$AC$50,MATCH(Results!$D$3,'Employee Profile (2)'!$B$4:$B$50,0))*$Q9,"")</f>
        <v>23.41935483870968</v>
      </c>
      <c r="Q9" s="148">
        <f>IFERROR(SUMIFS('Employee Profile (2)'!J$4:J$50,'Employee Profile (2)'!$B$4:$B$50,Results!$D$3),"")</f>
        <v>0.70967741935483875</v>
      </c>
      <c r="R9" s="150" t="s">
        <v>627</v>
      </c>
      <c r="S9" s="144">
        <f>IFERROR(INDEX('Employee Profile (2)'!$AC$4:$AC$50,MATCH(Results!$D$3,'Employee Profile (2)'!$B$4:$B$50,0))*$T9,"")</f>
        <v>5.32258064516129</v>
      </c>
      <c r="T9" s="147">
        <f>IFERROR(SUMIFS('Employee Profile (2)'!N$4:N$50,'Employee Profile (2)'!$B$4:$B$50,Results!$D$3),"")</f>
        <v>0.16129032258064516</v>
      </c>
      <c r="U9" s="150" t="s">
        <v>632</v>
      </c>
      <c r="V9" s="144">
        <f>IFERROR(INDEX('Employee Profile (2)'!$AC$4:$AC$50,MATCH(Results!$D$3,'Employee Profile (2)'!$B$4:$B$50,0))*$W9,"")</f>
        <v>21.29032258064516</v>
      </c>
      <c r="W9" s="147">
        <f>IFERROR(SUMIFS('Employee Profile (2)'!S$4:S$50,'Employee Profile (2)'!$B$4:$B$50,Results!$D$3),"")</f>
        <v>0.64516129032258063</v>
      </c>
      <c r="X9" s="150" t="s">
        <v>635</v>
      </c>
      <c r="Y9" s="144">
        <f>IFERROR(INDEX('Employee Profile (2)'!$AC$4:$AC$50,MATCH(Results!$D$3,'Employee Profile (2)'!$B$4:$B$50,0))*$Z9,"")</f>
        <v>29.806451612903224</v>
      </c>
      <c r="Z9" s="147">
        <f>IFERROR(SUMIFS('Employee Profile (2)'!V$4:V$50,'Employee Profile (2)'!$B$4:$B$50,Results!$D$3),"")</f>
        <v>0.90322580645161288</v>
      </c>
      <c r="AA9" s="150" t="s">
        <v>675</v>
      </c>
      <c r="AB9" s="144">
        <f>IFERROR(SUMIFS('Employee Profile (2)'!$AD$4:$AD$50,'Employee Profile (2)'!$B$4:$B$50,Results!$D$3),"")</f>
        <v>33</v>
      </c>
      <c r="AC9" s="147">
        <f>IFERROR(SUMIFS('Employee Profile (2)'!$AE$4:$AE$50,'Employee Profile (2)'!$B$4:$B$50,Results!$D$3),"")</f>
        <v>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20.225806451612904</v>
      </c>
      <c r="N10" s="148">
        <f>IFERROR(SUMIFS('Employee Profile (2)'!D$4:D$50,'Employee Profile (2)'!$B$4:$B$50,Results!$D$3),"")</f>
        <v>0.61290322580645162</v>
      </c>
      <c r="O10" s="150" t="s">
        <v>621</v>
      </c>
      <c r="P10" s="143">
        <f>IFERROR(INDEX('Employee Profile (2)'!$AC$4:$AC$50,MATCH(Results!$D$3,'Employee Profile (2)'!$B$4:$B$50,0))*$Q10,"")</f>
        <v>6.387096774193548</v>
      </c>
      <c r="Q10" s="148">
        <f>IFERROR(SUMIFS('Employee Profile (2)'!K$4:K$50,'Employee Profile (2)'!$B$4:$B$50,Results!$D$3),"")</f>
        <v>0.19354838709677419</v>
      </c>
      <c r="R10" s="150" t="s">
        <v>628</v>
      </c>
      <c r="S10" s="144">
        <f>IFERROR(INDEX('Employee Profile (2)'!$AC$4:$AC$50,MATCH(Results!$D$3,'Employee Profile (2)'!$B$4:$B$50,0))*$T10,"")</f>
        <v>6.387096774193548</v>
      </c>
      <c r="T10" s="147">
        <f>IFERROR(SUMIFS('Employee Profile (2)'!O$4:O$50,'Employee Profile (2)'!$B$4:$B$50,Results!$D$3),"")</f>
        <v>0.19354838709677419</v>
      </c>
      <c r="U10" s="150" t="s">
        <v>633</v>
      </c>
      <c r="V10" s="144">
        <f>IFERROR(INDEX('Employee Profile (2)'!$AC$4:$AC$50,MATCH(Results!$D$3,'Employee Profile (2)'!$B$4:$B$50,0))*$W10,"")</f>
        <v>11.70967741935484</v>
      </c>
      <c r="W10" s="147">
        <f>IFERROR(SUMIFS('Employee Profile (2)'!T$4:T$50,'Employee Profile (2)'!$B$4:$B$50,Results!$D$3),"")</f>
        <v>0.35483870967741937</v>
      </c>
      <c r="X10" s="150" t="s">
        <v>636</v>
      </c>
      <c r="Y10" s="144">
        <f>IFERROR(INDEX('Employee Profile (2)'!$AC$4:$AC$50,MATCH(Results!$D$3,'Employee Profile (2)'!$B$4:$B$50,0))*$Z10,"")</f>
        <v>0</v>
      </c>
      <c r="Z10" s="147">
        <f>IFERROR(SUMIFS('Employee Profile (2)'!W$4:W$50,'Employee Profile (2)'!$B$4:$B$50,Results!$D$3),"")</f>
        <v>0</v>
      </c>
      <c r="AA10" s="150" t="s">
        <v>676</v>
      </c>
      <c r="AB10" s="144">
        <f>IFERROR(INDEX('Employee Profile (2)'!$AC$4:$AC$50,MATCH(Results!$D$3,'Employee Profile (2)'!$B$4:$B$50))-$AB$9,"")</f>
        <v>0</v>
      </c>
      <c r="AC10" s="147">
        <f>IFERROR(100%-$AC$9,"")</f>
        <v>0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1.064516129032258</v>
      </c>
      <c r="N11" s="148">
        <f>IFERROR(SUMIFS('Employee Profile (2)'!E$4:E$50,'Employee Profile (2)'!$B$4:$B$50,Results!$D$3),"")</f>
        <v>3.2258064516129031E-2</v>
      </c>
      <c r="O11" s="150" t="s">
        <v>622</v>
      </c>
      <c r="P11" s="143">
        <f>IFERROR(INDEX('Employee Profile (2)'!$AC$4:$AC$50,MATCH(Results!$D$3,'Employee Profile (2)'!$B$4:$B$50,0))*$Q11,"")</f>
        <v>3.193548387096774</v>
      </c>
      <c r="Q11" s="148">
        <f>IFERROR(SUMIFS('Employee Profile (2)'!L$4:L$50,'Employee Profile (2)'!$B$4:$B$50,Results!$D$3),"")</f>
        <v>9.6774193548387094E-2</v>
      </c>
      <c r="R11" s="150" t="s">
        <v>629</v>
      </c>
      <c r="S11" s="144">
        <f>IFERROR(INDEX('Employee Profile (2)'!$AC$4:$AC$50,MATCH(Results!$D$3,'Employee Profile (2)'!$B$4:$B$50,0))*$T11,"")</f>
        <v>18.096774193548384</v>
      </c>
      <c r="T11" s="147">
        <f>IFERROR(SUMIFS('Employee Profile (2)'!P$4:P$50,'Employee Profile (2)'!$B$4:$B$50,Results!$D$3),"")</f>
        <v>0.54838709677419351</v>
      </c>
      <c r="U11" s="150" t="s">
        <v>53</v>
      </c>
      <c r="V11" s="144">
        <f>IFERROR(INDEX('Employee Profile (2)'!$AC$4:$AC$50,MATCH(Results!$D$3,'Employee Profile (2)'!$B$4:$B$50,0))*$W11,"")</f>
        <v>0</v>
      </c>
      <c r="W11" s="147">
        <f>IFERROR(SUMIFS('Employee Profile (2)'!U$4:U$50,'Employee Profile (2)'!$B$4:$B$50,Results!$D$3),"")</f>
        <v>0</v>
      </c>
      <c r="X11" s="150" t="s">
        <v>637</v>
      </c>
      <c r="Y11" s="144">
        <f>IFERROR(INDEX('Employee Profile (2)'!$AC$4:$AC$50,MATCH(Results!$D$3,'Employee Profile (2)'!$B$4:$B$50,0))*$Z11,"")</f>
        <v>0</v>
      </c>
      <c r="Z11" s="147">
        <f>IFERROR(SUMIFS('Employee Profile (2)'!X$4:X$50,'Employee Profile (2)'!$B$4:$B$50,Results!$D$3),"")</f>
        <v>0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1.064516129032258</v>
      </c>
      <c r="N12" s="148">
        <f>IFERROR(SUMIFS('Employee Profile (2)'!F$4:F$50,'Employee Profile (2)'!$B$4:$B$50,Results!$D$3),"")</f>
        <v>3.2258064516129031E-2</v>
      </c>
      <c r="O12" s="150" t="s">
        <v>623</v>
      </c>
      <c r="P12" s="143">
        <f>IFERROR(INDEX('Employee Profile (2)'!$AC$4:$AC$50,MATCH(Results!$D$3,'Employee Profile (2)'!$B$4:$B$50,0))*$Q12,"")</f>
        <v>0</v>
      </c>
      <c r="Q12" s="148">
        <f>IFERROR(SUMIFS('Employee Profile (2)'!M$4:M$50,'Employee Profile (2)'!$B$4:$B$50,Results!$D$3),"")</f>
        <v>0</v>
      </c>
      <c r="R12" s="150" t="s">
        <v>630</v>
      </c>
      <c r="S12" s="144">
        <f>IFERROR(INDEX('Employee Profile (2)'!$AC$4:$AC$50,MATCH(Results!$D$3,'Employee Profile (2)'!$B$4:$B$50,0))*$T12,"")</f>
        <v>2.129032258064516</v>
      </c>
      <c r="T12" s="147">
        <f>IFERROR(SUMIFS('Employee Profile (2)'!Q$4:Q$50,'Employee Profile (2)'!$B$4:$B$50,Results!$D$3),"")</f>
        <v>6.4516129032258063E-2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3.193548387096774</v>
      </c>
      <c r="Z12" s="147">
        <f>IFERROR(SUMIFS('Employee Profile (2)'!Y$4:Y$50,'Employee Profile (2)'!$B$4:$B$50,Results!$D$3),"")</f>
        <v>9.6774193548387094E-2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-1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0</v>
      </c>
      <c r="N13" s="148">
        <f>IFERROR(SUMIFS('Employee Profile (2)'!G$4:G$50,'Employee Profile (2)'!$B$4:$B$50,Results!$D$3),"")</f>
        <v>0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1.064516129032258</v>
      </c>
      <c r="T13" s="147">
        <f>IFERROR(SUMIFS('Employee Profile (2)'!R$4:R$50,'Employee Profile (2)'!$B$4:$B$50,Results!$D$3),"")</f>
        <v>3.2258064516129031E-2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0</v>
      </c>
      <c r="Z13" s="147">
        <f>IFERROR(SUMIFS('Employee Profile (2)'!Z$4:Z$50,'Employee Profile (2)'!$B$4:$B$50,Results!$D$3),"")</f>
        <v>0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4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3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0</v>
      </c>
      <c r="N15" s="148">
        <f>IFERROR(SUMIFS('Employee Profile (2)'!I$4:I$50,'Employee Profile (2)'!$B$4:$B$50,Results!$D$3),"")</f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3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17</v>
      </c>
      <c r="G29" s="87">
        <f t="shared" ref="G29:G44" si="4">SUMIFS($K$64:$K$509,$A$64:$A$509,B29,$C$64:$C$509,"Total")</f>
        <v>362.65577352941176</v>
      </c>
      <c r="H29" s="83">
        <f t="shared" ref="H29:H44" si="5">SUMIFS($J$64:$J$509,$A$64:$A$509,B29,$C$64:$C$509,"Total")</f>
        <v>6165.14815</v>
      </c>
      <c r="I29" s="21">
        <f t="shared" ref="I29:I44" si="6">-SUMIFS($O$64:$O$509,$A$64:$A$509,$B29,$C$64:$C$509,"Total")+SUMIFS($N$64:$N$509,$A$64:$A$509,$B29,$C$64:$C$509,"Total")</f>
        <v>2</v>
      </c>
      <c r="J29" s="88">
        <f t="shared" ref="J29:J44" si="7">SUMIFS($P$64:$P$509,$A$64:$A$509,$B29,$C$64:$C$509,"Total")</f>
        <v>19</v>
      </c>
      <c r="K29" s="88">
        <f t="shared" ref="K29:K44" si="8">SUMIFS($M$64:$M$509,$A$64:$A$509,$B29,$C$64:$C$509,"Total")</f>
        <v>427.48065168691465</v>
      </c>
      <c r="L29" s="88">
        <f t="shared" ref="L29:L44" si="9">SUMIFS($R$64:$R$509,$A$64:$A$509,$B29,$C$64:$C$509,"Total")+SUMIFS($Q$64:$Q$509,$A$64:$A$509,$B29,$C$64:$C$509,"Total")</f>
        <v>1517.5812990218681</v>
      </c>
      <c r="M29" s="88">
        <f t="shared" ref="M29:M44" si="10">SUMIFS($S$64:$S$509,$A$64:$A$509,$B29,$C$64:$C$509,"Total")</f>
        <v>8122.132382051379</v>
      </c>
      <c r="N29" s="88">
        <f t="shared" ref="N29:N44" si="11">SUMIFS($S$64:$S$509,$A$64:$A$509,$B29,$C$64:$C$509,"Compensation Budget")</f>
        <v>8141</v>
      </c>
      <c r="O29" s="89">
        <f t="shared" ref="O29:O44" si="12">SUMIFS($S$64:$S$509,$A$64:$A$509,$B29,$C$64:$C$509,"Under/(Over)")</f>
        <v>18.867617948621046</v>
      </c>
      <c r="P29" s="21">
        <f t="shared" ref="P29:P44" si="13">-SUMIFS($W$64:$W$509,$A$64:$A$509,$B29,$C$64:$C$509,"Total")+SUMIFS($V$64:$V$509,$A$64:$A$509,$B29,$C$64:$C$509,"Total")</f>
        <v>1</v>
      </c>
      <c r="Q29" s="88">
        <f t="shared" ref="Q29:Q44" si="14">SUMIFS($X$64:$X$509,$A$64:$A$509,$B29,$C$64:$C$509,"Total")</f>
        <v>20</v>
      </c>
      <c r="R29" s="88">
        <f t="shared" ref="R29:R44" si="15">SUMIFS($U$64:$U$509,$A$64:$A$509,$B29,$C$64:$C$509,"Total")</f>
        <v>453.26315455397463</v>
      </c>
      <c r="S29" s="88">
        <f t="shared" ref="S29:S44" si="16">SUMIFS($Z$64:$Z$509,$A$64:$A$509,$B29,$C$64:$C$509,"Total")+SUMIFS($Y$64:$Y$509,$A$64:$A$509,$B29,$C$64:$C$509,"Total")</f>
        <v>277.14093337947611</v>
      </c>
      <c r="T29" s="88">
        <f t="shared" ref="T29:T44" si="17">SUMIFS($AA$64:$AA$509,$A$64:$A$509,$B29,$C$64:$C$509,"Total")</f>
        <v>9065.2630910794924</v>
      </c>
      <c r="U29" s="88">
        <f t="shared" ref="U29:U44" si="18">SUMIFS($AA$64:$AA$509,$A$64:$A$509,$B29,$C$64:$C$509,"Compensation Budget")</f>
        <v>8760</v>
      </c>
      <c r="V29" s="89">
        <f t="shared" ref="V29:V44" si="19">SUMIFS($AA$64:$AA$509,$A$64:$A$509,$B29,$C$64:$C$509,"Under/(Over)")</f>
        <v>-305.26309107949237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20</v>
      </c>
      <c r="Y29" s="88">
        <f t="shared" ref="Y29:Y44" si="22">SUMIFS($AC$64:$AC$509,$A$64:$A$509,$B29,$C$64:$C$509,"Total")</f>
        <v>490.01548006976554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9800.3096013953109</v>
      </c>
      <c r="AB29" s="88">
        <f t="shared" ref="AB29:AB44" si="25">SUMIFS($AI$64:$AI$509,$A$64:$A$509,$B29,$C$64:$C$509,"Compensation Budget")</f>
        <v>9245</v>
      </c>
      <c r="AC29" s="89">
        <f t="shared" ref="AC29:AC44" si="26">SUMIFS($AI$64:$AI$509,$A$64:$A$509,$B29,$C$64:$C$509,"Under/(Over)")</f>
        <v>-555.30960139531089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20</v>
      </c>
      <c r="AF29" s="88">
        <f t="shared" ref="AF29:AF44" si="29">SUMIFS($AK$64:$AK$509,$A$64:$A$509,$B29,$C$64:$C$509,"Total")</f>
        <v>528.76368542678654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10575.273708535731</v>
      </c>
      <c r="AI29" s="88">
        <f t="shared" ref="AI29:AI44" si="32">SUMIFS($AQ$64:$AQ$509,$A$64:$A$509,$B29,$C$64:$C$509,"Compensation Budget")</f>
        <v>9947.6200000000008</v>
      </c>
      <c r="AJ29" s="89">
        <f t="shared" ref="AJ29:AJ44" si="33">SUMIFS($AQ$64:$AQ$509,$A$64:$A$509,$B29,$C$64:$C$509,"Under/(Over)")</f>
        <v>-627.6537085357304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Public Sector Innovation</v>
      </c>
      <c r="D30" s="222">
        <f t="shared" si="2"/>
        <v>0</v>
      </c>
      <c r="E30" s="223">
        <f t="shared" si="2"/>
        <v>0</v>
      </c>
      <c r="F30" s="80">
        <f t="shared" si="3"/>
        <v>12</v>
      </c>
      <c r="G30" s="155">
        <f t="shared" si="4"/>
        <v>667.01253125000005</v>
      </c>
      <c r="H30" s="155">
        <f t="shared" si="5"/>
        <v>8004.1503750000002</v>
      </c>
      <c r="I30" s="23">
        <f t="shared" si="6"/>
        <v>0</v>
      </c>
      <c r="J30" s="22">
        <f t="shared" si="7"/>
        <v>12</v>
      </c>
      <c r="K30" s="22">
        <f t="shared" si="8"/>
        <v>702.03088167278258</v>
      </c>
      <c r="L30" s="22">
        <f t="shared" si="9"/>
        <v>-1.7933333333332939</v>
      </c>
      <c r="M30" s="22">
        <f t="shared" si="10"/>
        <v>8424.3705800733915</v>
      </c>
      <c r="N30" s="22">
        <f t="shared" si="11"/>
        <v>9096</v>
      </c>
      <c r="O30" s="91">
        <f t="shared" si="12"/>
        <v>671.62941992660853</v>
      </c>
      <c r="P30" s="23">
        <f t="shared" si="13"/>
        <v>0</v>
      </c>
      <c r="Q30" s="22">
        <f t="shared" si="14"/>
        <v>12</v>
      </c>
      <c r="R30" s="22">
        <f t="shared" si="15"/>
        <v>747.48941016449442</v>
      </c>
      <c r="S30" s="22">
        <f t="shared" si="16"/>
        <v>0</v>
      </c>
      <c r="T30" s="22">
        <f t="shared" si="17"/>
        <v>8969.8729219739325</v>
      </c>
      <c r="U30" s="22">
        <f t="shared" si="18"/>
        <v>9804</v>
      </c>
      <c r="V30" s="91">
        <f t="shared" si="19"/>
        <v>834.12707802606747</v>
      </c>
      <c r="W30" s="23">
        <f t="shared" si="20"/>
        <v>0</v>
      </c>
      <c r="X30" s="22">
        <f t="shared" si="21"/>
        <v>12</v>
      </c>
      <c r="Y30" s="22">
        <f t="shared" si="22"/>
        <v>795.16155770227203</v>
      </c>
      <c r="Z30" s="22">
        <f t="shared" si="23"/>
        <v>0</v>
      </c>
      <c r="AA30" s="22">
        <f t="shared" si="24"/>
        <v>9541.938692427264</v>
      </c>
      <c r="AB30" s="22">
        <f t="shared" si="25"/>
        <v>10396</v>
      </c>
      <c r="AC30" s="91">
        <f t="shared" si="26"/>
        <v>854.06130757273604</v>
      </c>
      <c r="AD30" s="23">
        <f t="shared" si="27"/>
        <v>0</v>
      </c>
      <c r="AE30" s="22">
        <f t="shared" si="28"/>
        <v>12</v>
      </c>
      <c r="AF30" s="22">
        <f t="shared" si="29"/>
        <v>844.30241913888369</v>
      </c>
      <c r="AG30" s="22">
        <f t="shared" si="30"/>
        <v>0</v>
      </c>
      <c r="AH30" s="22">
        <f t="shared" si="31"/>
        <v>10131.629029666605</v>
      </c>
      <c r="AI30" s="22">
        <f t="shared" si="32"/>
        <v>11186.096000000001</v>
      </c>
      <c r="AJ30" s="91">
        <f t="shared" si="33"/>
        <v>1054.4669703333966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/>
      </c>
      <c r="D31" s="222">
        <f t="shared" si="2"/>
        <v>0</v>
      </c>
      <c r="E31" s="223">
        <f t="shared" si="2"/>
        <v>0</v>
      </c>
      <c r="F31" s="80">
        <f t="shared" si="3"/>
        <v>0</v>
      </c>
      <c r="G31" s="155">
        <f t="shared" si="4"/>
        <v>0</v>
      </c>
      <c r="H31" s="155">
        <f t="shared" si="5"/>
        <v>0</v>
      </c>
      <c r="I31" s="23">
        <f t="shared" si="6"/>
        <v>0</v>
      </c>
      <c r="J31" s="22">
        <f t="shared" si="7"/>
        <v>0</v>
      </c>
      <c r="K31" s="22">
        <f t="shared" si="8"/>
        <v>0</v>
      </c>
      <c r="L31" s="22">
        <f t="shared" si="9"/>
        <v>0</v>
      </c>
      <c r="M31" s="22">
        <f t="shared" si="10"/>
        <v>0</v>
      </c>
      <c r="N31" s="22">
        <f t="shared" si="11"/>
        <v>0</v>
      </c>
      <c r="O31" s="91">
        <f t="shared" si="12"/>
        <v>0</v>
      </c>
      <c r="P31" s="23">
        <f t="shared" si="13"/>
        <v>0</v>
      </c>
      <c r="Q31" s="22">
        <f t="shared" si="14"/>
        <v>0</v>
      </c>
      <c r="R31" s="22">
        <f t="shared" si="15"/>
        <v>0</v>
      </c>
      <c r="S31" s="22">
        <f t="shared" si="16"/>
        <v>0</v>
      </c>
      <c r="T31" s="22">
        <f t="shared" si="17"/>
        <v>0</v>
      </c>
      <c r="U31" s="22">
        <f t="shared" si="18"/>
        <v>0</v>
      </c>
      <c r="V31" s="91">
        <f t="shared" si="19"/>
        <v>0</v>
      </c>
      <c r="W31" s="23">
        <f t="shared" si="20"/>
        <v>0</v>
      </c>
      <c r="X31" s="22">
        <f t="shared" si="21"/>
        <v>0</v>
      </c>
      <c r="Y31" s="22">
        <f t="shared" si="22"/>
        <v>0</v>
      </c>
      <c r="Z31" s="22">
        <f t="shared" si="23"/>
        <v>0</v>
      </c>
      <c r="AA31" s="22">
        <f t="shared" si="24"/>
        <v>0</v>
      </c>
      <c r="AB31" s="22">
        <f t="shared" si="25"/>
        <v>0</v>
      </c>
      <c r="AC31" s="91">
        <f t="shared" si="26"/>
        <v>0</v>
      </c>
      <c r="AD31" s="23">
        <f t="shared" si="27"/>
        <v>0</v>
      </c>
      <c r="AE31" s="22">
        <f t="shared" si="28"/>
        <v>0</v>
      </c>
      <c r="AF31" s="22">
        <f t="shared" si="29"/>
        <v>0</v>
      </c>
      <c r="AG31" s="22">
        <f t="shared" si="30"/>
        <v>0</v>
      </c>
      <c r="AH31" s="22">
        <f t="shared" si="31"/>
        <v>0</v>
      </c>
      <c r="AI31" s="22">
        <f t="shared" si="32"/>
        <v>0</v>
      </c>
      <c r="AJ31" s="91">
        <f t="shared" si="33"/>
        <v>0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29</v>
      </c>
      <c r="G45" s="92">
        <f>IFERROR(H45/F45,0)</f>
        <v>488.59650086206898</v>
      </c>
      <c r="H45" s="92">
        <f>SUM(H29:H38)</f>
        <v>14169.298525</v>
      </c>
      <c r="I45" s="25">
        <f>SUM(I29:I38)</f>
        <v>2</v>
      </c>
      <c r="J45" s="92">
        <f>SUM(J29:J38)</f>
        <v>31</v>
      </c>
      <c r="K45" s="92">
        <f>IFERROR(M45/J45,0)</f>
        <v>533.75816006854097</v>
      </c>
      <c r="L45" s="92">
        <f t="shared" ref="L45:Q45" si="34">SUM(L29:L38)</f>
        <v>1515.7879656885348</v>
      </c>
      <c r="M45" s="92">
        <f t="shared" si="34"/>
        <v>16546.50296212477</v>
      </c>
      <c r="N45" s="92">
        <f>INDEX('ENE17'!$C$2:$C$48,MATCH(Results!$D$3,'ENE17'!$A$2:$A$48,0))</f>
        <v>17237</v>
      </c>
      <c r="O45" s="129">
        <f>N45-M45</f>
        <v>690.49703787522958</v>
      </c>
      <c r="P45" s="25">
        <f t="shared" si="34"/>
        <v>1</v>
      </c>
      <c r="Q45" s="24">
        <f t="shared" si="34"/>
        <v>32</v>
      </c>
      <c r="R45" s="92">
        <f>IFERROR(T45/Q45,0)</f>
        <v>563.59800040791947</v>
      </c>
      <c r="S45" s="24">
        <f>SUM(S29:S38)</f>
        <v>277.14093337947611</v>
      </c>
      <c r="T45" s="24">
        <f>SUM(T29:T38)</f>
        <v>18035.136013053423</v>
      </c>
      <c r="U45" s="207">
        <f>INDEX('ENE17'!$D$2:$D$48,MATCH(Results!$D$3,'ENE17'!$A$2:$A$48,0))</f>
        <v>18360</v>
      </c>
      <c r="V45" s="24">
        <f>U45-T45</f>
        <v>324.86398694657692</v>
      </c>
      <c r="W45" s="25">
        <f t="shared" ref="W45:X45" si="35">SUM(W29:W38)</f>
        <v>0</v>
      </c>
      <c r="X45" s="24">
        <f t="shared" si="35"/>
        <v>32</v>
      </c>
      <c r="Y45" s="92">
        <f>IFERROR(AA45/X45,0)</f>
        <v>604.44525918195541</v>
      </c>
      <c r="Z45" s="24">
        <f t="shared" ref="Z45:AA45" si="36">SUM(Z29:Z38)</f>
        <v>0</v>
      </c>
      <c r="AA45" s="24">
        <f t="shared" si="36"/>
        <v>19342.248293822573</v>
      </c>
      <c r="AB45" s="207">
        <f>INDEX('ENE17'!$E$2:$E$48,MATCH(Results!$D$3,'ENE17'!$A$2:$A$48,0))</f>
        <v>19425</v>
      </c>
      <c r="AC45" s="24">
        <f>AB45-AA45</f>
        <v>82.751706177426968</v>
      </c>
      <c r="AD45" s="25">
        <f t="shared" ref="AD45:AE45" si="37">SUM(AD29:AD38)</f>
        <v>0</v>
      </c>
      <c r="AE45" s="24">
        <f t="shared" si="37"/>
        <v>32</v>
      </c>
      <c r="AF45" s="92">
        <f>IFERROR(AH45/AE45,0)</f>
        <v>647.09071056882294</v>
      </c>
      <c r="AG45" s="24">
        <f t="shared" ref="AG45:AH45" si="38">SUM(AG29:AG38)</f>
        <v>0</v>
      </c>
      <c r="AH45" s="24">
        <f t="shared" si="38"/>
        <v>20706.902738202334</v>
      </c>
      <c r="AI45" s="207">
        <f>INDEX('ENE17'!$F$2:$F$48,MATCH(Results!$D$3,'ENE17'!$A$2:$A$48,0))</f>
        <v>20902</v>
      </c>
      <c r="AJ45" s="24">
        <f>AI45-AH45</f>
        <v>195.09726179766585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13</v>
      </c>
      <c r="G51" s="193">
        <f>IFERROR(H51/F51,"")</f>
        <v>172.28770076923078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2239.7401100000002</v>
      </c>
      <c r="I51" s="97">
        <f>SUMIFS($N$64:$N$509,$B$64:$B$509,$B51)-SUMIFS($O$64:$O$509,$B$64:$B$509,$B51)</f>
        <v>0</v>
      </c>
      <c r="J51" s="80">
        <f>SUMIFS($P$64:$P$509,$B$64:$B$509,$B51)</f>
        <v>13</v>
      </c>
      <c r="K51" s="80">
        <f>IFERROR(M51/J51,0)</f>
        <v>202.86797978086358</v>
      </c>
      <c r="L51" s="80">
        <f>SUMIFS($R$64:$R$509,$B$64:$B$509,$B51)+SUMIFS($Q$64:$Q$509,$B$64:$B$509,$B51)</f>
        <v>213.87370101095001</v>
      </c>
      <c r="M51" s="98">
        <f>SUMIFS($S$64:$S$509,$B$64:$B$509,$B51)</f>
        <v>2637.2837371512264</v>
      </c>
      <c r="N51" s="80">
        <f>SUMIFS($V$64:$V$509,$B$64:$B$509,$B51)-SUMIFS($W$64:$W$509,$B$64:$B$509,$B51)</f>
        <v>1</v>
      </c>
      <c r="O51" s="80">
        <f>SUMIFS($X$64:$X$509,$B$64:$B$509,$B51)</f>
        <v>14</v>
      </c>
      <c r="P51" s="80">
        <f>IFERROR(R51/O51,0)</f>
        <v>223.0340158248616</v>
      </c>
      <c r="Q51" s="80">
        <f>SUMIFS($Z$64:$Z$509,$B$64:$B$509,$B51)+SUMIFS($Y$64:$Y$509,$B$64:$B$509,$B51)</f>
        <v>277.14093337947611</v>
      </c>
      <c r="R51" s="80">
        <f>SUMIFS($AA$64:$AA$509,$B$64:$B$509,$B51)</f>
        <v>3122.4762215480623</v>
      </c>
      <c r="S51" s="97">
        <f>SUMIFS($AD$64:$AD$509,$B$64:$B$509,$B51)-SUMIFS($AE$64:$AE$509,$B$64:$B$509,$B51)</f>
        <v>0</v>
      </c>
      <c r="T51" s="80">
        <f>SUMIFS($AF$64:$AF$509,$B$64:$B$509,$B51)</f>
        <v>14</v>
      </c>
      <c r="U51" s="80">
        <f>IFERROR(W51/T51,0)</f>
        <v>240.52808207202361</v>
      </c>
      <c r="V51" s="80">
        <f>SUMIFS($AH$64:$AH$509,$B$64:$B$509,$B51)+SUMIFS($AG$64:$AG$509,$B$64:$B$509,$B51)</f>
        <v>0</v>
      </c>
      <c r="W51" s="98">
        <f>SUMIFS($AI$64:$AI$509,$B$64:$B$509,$B51)</f>
        <v>3367.3931490083305</v>
      </c>
      <c r="X51" s="80">
        <f>SUMIFS($AL$64:$AL$509,$B$64:$B$509,$B51)-SUMIFS($AM$64:$AM$509,$B$64:$B$509,$B51)</f>
        <v>0</v>
      </c>
      <c r="Y51" s="80">
        <f>SUMIFS($AN$64:$AN$509,$B$64:$B$509,$B51)</f>
        <v>14</v>
      </c>
      <c r="Z51" s="80">
        <f>IFERROR(AB51/Y51,0)</f>
        <v>258.92062704015649</v>
      </c>
      <c r="AA51" s="80">
        <f>SUMIFS($AP$64:$AP$509,$B$64:$B$509,$B51)+SUMIFS($AO$64:$AO$509,$B$64:$B$509,$B51)</f>
        <v>0</v>
      </c>
      <c r="AB51" s="98">
        <f>SUMIFS($AQ$64:$AQ$509,$B$64:$B$509,$B51)</f>
        <v>3624.8887785621905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3</v>
      </c>
      <c r="G52" s="192">
        <f t="shared" ref="G52:G55" si="40">IFERROR(H52/F52,"")</f>
        <v>205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615</v>
      </c>
      <c r="I52" s="97">
        <f>SUMIFS($N$64:$N$509,$B$64:$B$509,$B52)-SUMIFS($O$64:$O$509,$B$64:$B$509,$B52)</f>
        <v>0</v>
      </c>
      <c r="J52" s="80">
        <f>SUMIFS($P$64:$P$509,$B$64:$B$509,$B52)</f>
        <v>3</v>
      </c>
      <c r="K52" s="80">
        <f t="shared" ref="K52:K56" si="41">IFERROR(M52/J52,0)</f>
        <v>223.10607708677924</v>
      </c>
      <c r="L52" s="80">
        <f>SUMIFS($R$64:$R$509,$B$64:$B$509,$B52)+SUMIFS($Q$64:$Q$509,$B$64:$B$509,$B52)</f>
        <v>0</v>
      </c>
      <c r="M52" s="98">
        <f>SUMIFS($S$64:$S$509,$B$64:$B$509,$B52)</f>
        <v>669.31823126033771</v>
      </c>
      <c r="N52" s="80">
        <f>SUMIFS($V$64:$V$509,$B$64:$B$509,$B52)-SUMIFS($W$64:$W$509,$B$64:$B$509,$B52)</f>
        <v>0</v>
      </c>
      <c r="O52" s="80">
        <f>SUMIFS($X$64:$X$509,$B$64:$B$509,$B52)</f>
        <v>3</v>
      </c>
      <c r="P52" s="80">
        <f t="shared" ref="P52:P55" si="42">IFERROR(R52/O52,0)</f>
        <v>242.05914970389901</v>
      </c>
      <c r="Q52" s="80">
        <f>SUMIFS($Z$64:$Z$509,$B$64:$B$509,$B52)+SUMIFS($Y$64:$Y$509,$B$64:$B$509,$B52)</f>
        <v>0</v>
      </c>
      <c r="R52" s="80">
        <f>SUMIFS($AA$64:$AA$509,$B$64:$B$509,$B52)</f>
        <v>726.177449111697</v>
      </c>
      <c r="S52" s="97">
        <f>SUMIFS($AD$64:$AD$509,$B$64:$B$509,$B52)-SUMIFS($AE$64:$AE$509,$B$64:$B$509,$B52)</f>
        <v>0</v>
      </c>
      <c r="T52" s="80">
        <f>SUMIFS($AF$64:$AF$509,$B$64:$B$509,$B52)</f>
        <v>3</v>
      </c>
      <c r="U52" s="80">
        <f t="shared" ref="U52:U55" si="43">IFERROR(W52/T52,0)</f>
        <v>262.3770354007458</v>
      </c>
      <c r="V52" s="80">
        <f>SUMIFS($AH$64:$AH$509,$B$64:$B$509,$B52)+SUMIFS($AG$64:$AG$509,$B$64:$B$509,$B52)</f>
        <v>0</v>
      </c>
      <c r="W52" s="98">
        <f>SUMIFS($AI$64:$AI$509,$B$64:$B$509,$B52)</f>
        <v>787.13110620223733</v>
      </c>
      <c r="X52" s="80">
        <f>SUMIFS($AL$64:$AL$509,$B$64:$B$509,$B52)-SUMIFS($AM$64:$AM$509,$B$64:$B$509,$B52)</f>
        <v>0</v>
      </c>
      <c r="Y52" s="80">
        <f>SUMIFS($AN$64:$AN$509,$B$64:$B$509,$B52)</f>
        <v>3</v>
      </c>
      <c r="Z52" s="80">
        <f t="shared" ref="Z52:Z55" si="44">IFERROR(AB52/Y52,0)</f>
        <v>283.86864552227007</v>
      </c>
      <c r="AA52" s="80">
        <f>SUMIFS($AP$64:$AP$509,$B$64:$B$509,$B52)+SUMIFS($AO$64:$AO$509,$B$64:$B$509,$B52)</f>
        <v>0</v>
      </c>
      <c r="AB52" s="98">
        <f>SUMIFS($AQ$64:$AQ$509,$B$64:$B$509,$B52)</f>
        <v>851.60593656681021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7</v>
      </c>
      <c r="G53" s="192">
        <f t="shared" si="40"/>
        <v>608.42857142857144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4259</v>
      </c>
      <c r="I53" s="97">
        <f>SUMIFS($N$64:$N$509,$B$64:$B$509,$B53)-SUMIFS($O$64:$O$509,$B$64:$B$509,$B53)</f>
        <v>2</v>
      </c>
      <c r="J53" s="80">
        <f>SUMIFS($P$64:$P$509,$B$64:$B$509,$B53)</f>
        <v>9</v>
      </c>
      <c r="K53" s="80">
        <f t="shared" si="41"/>
        <v>656.56781947259333</v>
      </c>
      <c r="L53" s="80">
        <f>SUMIFS($R$64:$R$509,$B$64:$B$509,$B53)+SUMIFS($Q$64:$Q$509,$B$64:$B$509,$B53)</f>
        <v>1301.9142646775849</v>
      </c>
      <c r="M53" s="98">
        <f>SUMIFS($S$64:$S$509,$B$64:$B$509,$B53)</f>
        <v>5909.11037525334</v>
      </c>
      <c r="N53" s="80">
        <f>SUMIFS($V$64:$V$509,$B$64:$B$509,$B53)-SUMIFS($W$64:$W$509,$B$64:$B$509,$B53)</f>
        <v>0</v>
      </c>
      <c r="O53" s="80">
        <f>SUMIFS($X$64:$X$509,$B$64:$B$509,$B53)</f>
        <v>9</v>
      </c>
      <c r="P53" s="80">
        <f t="shared" si="42"/>
        <v>707.80401570760569</v>
      </c>
      <c r="Q53" s="80">
        <f>SUMIFS($Z$64:$Z$509,$B$64:$B$509,$B53)+SUMIFS($Y$64:$Y$509,$B$64:$B$509,$B53)</f>
        <v>0</v>
      </c>
      <c r="R53" s="80">
        <f>SUMIFS($AA$64:$AA$509,$B$64:$B$509,$B53)</f>
        <v>6370.2361413684512</v>
      </c>
      <c r="S53" s="97">
        <f>SUMIFS($AD$64:$AD$509,$B$64:$B$509,$B53)-SUMIFS($AE$64:$AE$509,$B$64:$B$509,$B53)</f>
        <v>0</v>
      </c>
      <c r="T53" s="80">
        <f>SUMIFS($AF$64:$AF$509,$B$64:$B$509,$B53)</f>
        <v>9</v>
      </c>
      <c r="U53" s="80">
        <f t="shared" si="43"/>
        <v>762.36723818670077</v>
      </c>
      <c r="V53" s="80">
        <f>SUMIFS($AH$64:$AH$509,$B$64:$B$509,$B53)+SUMIFS($AG$64:$AG$509,$B$64:$B$509,$B53)</f>
        <v>0</v>
      </c>
      <c r="W53" s="98">
        <f>SUMIFS($AI$64:$AI$509,$B$64:$B$509,$B53)</f>
        <v>6861.3051436803071</v>
      </c>
      <c r="X53" s="80">
        <f>SUMIFS($AL$64:$AL$509,$B$64:$B$509,$B53)-SUMIFS($AM$64:$AM$509,$B$64:$B$509,$B53)</f>
        <v>0</v>
      </c>
      <c r="Y53" s="80">
        <f>SUMIFS($AN$64:$AN$509,$B$64:$B$509,$B53)</f>
        <v>9</v>
      </c>
      <c r="Z53" s="80">
        <f t="shared" si="44"/>
        <v>819.6453526975082</v>
      </c>
      <c r="AA53" s="80">
        <f>SUMIFS($AP$64:$AP$509,$B$64:$B$509,$B53)+SUMIFS($AO$64:$AO$509,$B$64:$B$509,$B53)</f>
        <v>0</v>
      </c>
      <c r="AB53" s="98">
        <f>SUMIFS($AQ$64:$AQ$509,$B$64:$B$509,$B53)</f>
        <v>7376.8081742775739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6</v>
      </c>
      <c r="G54" s="192">
        <f t="shared" si="40"/>
        <v>1175.9264025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7055.5584149999995</v>
      </c>
      <c r="I54" s="97">
        <f>SUMIFS($N$64:$N$509,$B$64:$B$509,$B54)-SUMIFS($O$64:$O$509,$B$64:$B$509,$B54)</f>
        <v>0</v>
      </c>
      <c r="J54" s="80">
        <f>SUMIFS($P$64:$P$509,$B$64:$B$509,$B54)</f>
        <v>6</v>
      </c>
      <c r="K54" s="80">
        <f t="shared" si="41"/>
        <v>1221.7984364099777</v>
      </c>
      <c r="L54" s="80">
        <f>SUMIFS($R$64:$R$509,$B$64:$B$509,$B54)+SUMIFS($Q$64:$Q$509,$B$64:$B$509,$B54)</f>
        <v>0</v>
      </c>
      <c r="M54" s="98">
        <f>SUMIFS($S$64:$S$509,$B$64:$B$509,$B54)</f>
        <v>7330.790618459866</v>
      </c>
      <c r="N54" s="80">
        <f>SUMIFS($V$64:$V$509,$B$64:$B$509,$B54)-SUMIFS($W$64:$W$509,$B$64:$B$509,$B54)</f>
        <v>0</v>
      </c>
      <c r="O54" s="80">
        <f>SUMIFS($X$64:$X$509,$B$64:$B$509,$B54)</f>
        <v>6</v>
      </c>
      <c r="P54" s="80">
        <f t="shared" si="42"/>
        <v>1302.7077001708692</v>
      </c>
      <c r="Q54" s="80">
        <f>SUMIFS($Z$64:$Z$509,$B$64:$B$509,$B54)+SUMIFS($Y$64:$Y$509,$B$64:$B$509,$B54)</f>
        <v>0</v>
      </c>
      <c r="R54" s="80">
        <f>SUMIFS($AA$64:$AA$509,$B$64:$B$509,$B54)</f>
        <v>7816.2462010252148</v>
      </c>
      <c r="S54" s="97">
        <f>SUMIFS($AD$64:$AD$509,$B$64:$B$509,$B54)-SUMIFS($AE$64:$AE$509,$B$64:$B$509,$B54)</f>
        <v>0</v>
      </c>
      <c r="T54" s="80">
        <f>SUMIFS($AF$64:$AF$509,$B$64:$B$509,$B54)</f>
        <v>6</v>
      </c>
      <c r="U54" s="80">
        <f t="shared" si="43"/>
        <v>1387.736482488617</v>
      </c>
      <c r="V54" s="80">
        <f>SUMIFS($AH$64:$AH$509,$B$64:$B$509,$B54)+SUMIFS($AG$64:$AG$509,$B$64:$B$509,$B54)</f>
        <v>0</v>
      </c>
      <c r="W54" s="98">
        <f>SUMIFS($AI$64:$AI$509,$B$64:$B$509,$B54)</f>
        <v>8326.4188949317013</v>
      </c>
      <c r="X54" s="80">
        <f>SUMIFS($AL$64:$AL$509,$B$64:$B$509,$B54)-SUMIFS($AM$64:$AM$509,$B$64:$B$509,$B54)</f>
        <v>0</v>
      </c>
      <c r="Y54" s="80">
        <f>SUMIFS($AN$64:$AN$509,$B$64:$B$509,$B54)</f>
        <v>6</v>
      </c>
      <c r="Z54" s="80">
        <f t="shared" si="44"/>
        <v>1475.5999747992935</v>
      </c>
      <c r="AA54" s="80">
        <f>SUMIFS($AP$64:$AP$509,$B$64:$B$509,$B54)+SUMIFS($AO$64:$AO$509,$B$64:$B$509,$B54)</f>
        <v>0</v>
      </c>
      <c r="AB54" s="98">
        <f>SUMIFS($AQ$64:$AQ$509,$B$64:$B$509,$B54)</f>
        <v>8853.5998487957604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29</v>
      </c>
      <c r="G56" s="92">
        <f t="shared" ref="G56" si="45">IFERROR(H56/F56,0)</f>
        <v>488.59650086206898</v>
      </c>
      <c r="H56" s="92">
        <f>SUM(H51:H55)</f>
        <v>14169.298525</v>
      </c>
      <c r="I56" s="92">
        <f>SUM(I51:I55)</f>
        <v>2</v>
      </c>
      <c r="J56" s="92">
        <f>SUM(J51:J55)</f>
        <v>31</v>
      </c>
      <c r="K56" s="92">
        <f t="shared" si="41"/>
        <v>533.75816006854097</v>
      </c>
      <c r="L56" s="92">
        <f>SUM(L51:L55)</f>
        <v>1515.787965688535</v>
      </c>
      <c r="M56" s="92">
        <f>SUM(M51:M55)</f>
        <v>16546.50296212477</v>
      </c>
      <c r="N56" s="92">
        <f t="shared" ref="N56:O56" si="46">SUM(N51:N55)</f>
        <v>1</v>
      </c>
      <c r="O56" s="92">
        <f t="shared" si="46"/>
        <v>32</v>
      </c>
      <c r="P56" s="92">
        <f>IFERROR(R56/O56,0)</f>
        <v>563.59800040791947</v>
      </c>
      <c r="Q56" s="92">
        <f t="shared" ref="Q56" si="47">SUM(Q51:Q55)</f>
        <v>277.14093337947611</v>
      </c>
      <c r="R56" s="92">
        <f t="shared" ref="R56:T56" si="48">SUM(R51:R55)</f>
        <v>18035.136013053423</v>
      </c>
      <c r="S56" s="92">
        <f t="shared" si="48"/>
        <v>0</v>
      </c>
      <c r="T56" s="92">
        <f t="shared" si="48"/>
        <v>32</v>
      </c>
      <c r="U56" s="92">
        <f>IFERROR(W56/T56,0)</f>
        <v>604.44525918195552</v>
      </c>
      <c r="V56" s="92">
        <f t="shared" ref="V56" si="49">SUM(V51:V55)</f>
        <v>0</v>
      </c>
      <c r="W56" s="92">
        <f t="shared" ref="W56:Y56" si="50">SUM(W51:W55)</f>
        <v>19342.248293822577</v>
      </c>
      <c r="X56" s="92">
        <f t="shared" si="50"/>
        <v>0</v>
      </c>
      <c r="Y56" s="92">
        <f t="shared" si="50"/>
        <v>32</v>
      </c>
      <c r="Z56" s="92">
        <f>IFERROR(AB56/Y56,0)</f>
        <v>647.09071056882294</v>
      </c>
      <c r="AA56" s="92">
        <f t="shared" ref="AA56" si="51">SUM(AA51:AA55)</f>
        <v>0</v>
      </c>
      <c r="AB56" s="104">
        <f t="shared" ref="AB56" si="52">SUM(AB51:AB55)</f>
        <v>20706.902738202334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</v>
      </c>
      <c r="G64" s="35">
        <f>SUMIFS(WORKING!$AC$3:$AC$6802,WORKING!$A$3:$A$6802,Results!$D$3,WORKING!$B$3:$B$6802,Results!A64,WORKING!$C$3:$C$6802,Results!C64)/1000</f>
        <v>8</v>
      </c>
      <c r="H64" s="35">
        <f>IFERROR(G64/F64,0)</f>
        <v>8</v>
      </c>
      <c r="I64" s="156">
        <v>1</v>
      </c>
      <c r="J64" s="211">
        <v>8</v>
      </c>
      <c r="K64" s="217">
        <f>IFERROR(IF(J64="",G64,J64)/IF(I64="",F64,I64),"")</f>
        <v>8</v>
      </c>
      <c r="L64" s="34">
        <f t="shared" ref="L64:L80" si="54">IF(I64="",F64,I64)</f>
        <v>1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8.7371199999999991</v>
      </c>
      <c r="N64" s="57">
        <v>0</v>
      </c>
      <c r="O64" s="57">
        <v>0</v>
      </c>
      <c r="P64" s="61">
        <f t="shared" ref="P64:P80" si="55">-O64+L64+N64</f>
        <v>1</v>
      </c>
      <c r="Q64" s="40">
        <f>M64*N64</f>
        <v>0</v>
      </c>
      <c r="R64" s="40">
        <f>-M64*O64</f>
        <v>0</v>
      </c>
      <c r="S64" s="44">
        <f>M64*P64</f>
        <v>8.7371199999999991</v>
      </c>
      <c r="T64" s="35">
        <f>P64</f>
        <v>1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9.4889491759999984</v>
      </c>
      <c r="V64" s="57">
        <v>0</v>
      </c>
      <c r="W64" s="57">
        <v>0</v>
      </c>
      <c r="X64" s="61">
        <f t="shared" ref="X64:X80" si="56">-W64+T64+V64</f>
        <v>1</v>
      </c>
      <c r="Y64" s="40">
        <f>U64*V64</f>
        <v>0</v>
      </c>
      <c r="Z64" s="40">
        <f>-U64*W64</f>
        <v>0</v>
      </c>
      <c r="AA64" s="44">
        <f>U64*X64</f>
        <v>9.4889491759999984</v>
      </c>
      <c r="AB64" s="35">
        <f>X64</f>
        <v>1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10.295841969181156</v>
      </c>
      <c r="AD64" s="57">
        <v>0</v>
      </c>
      <c r="AE64" s="57">
        <v>0</v>
      </c>
      <c r="AF64" s="61">
        <f t="shared" ref="AF64:AF80" si="57">-AE64+AB64+AD64</f>
        <v>1</v>
      </c>
      <c r="AG64" s="40">
        <f>AC64*AD64</f>
        <v>0</v>
      </c>
      <c r="AH64" s="40">
        <f>-AC64*AE64</f>
        <v>0</v>
      </c>
      <c r="AI64" s="44">
        <f>AC64*AF64</f>
        <v>10.295841969181156</v>
      </c>
      <c r="AJ64" s="35">
        <f t="shared" ref="AJ64:AJ80" si="58">AF64</f>
        <v>1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11.150448331833037</v>
      </c>
      <c r="AL64" s="57">
        <v>0</v>
      </c>
      <c r="AM64" s="57">
        <v>0</v>
      </c>
      <c r="AN64" s="61">
        <f t="shared" ref="AN64:AN80" si="59">-AM64+AJ64+AL64</f>
        <v>1</v>
      </c>
      <c r="AO64" s="40">
        <f>AK64*AL64</f>
        <v>0</v>
      </c>
      <c r="AP64" s="40">
        <f>-AK64*AM64</f>
        <v>0</v>
      </c>
      <c r="AQ64" s="44">
        <f>AK64*AN64</f>
        <v>11.150448331833037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3</v>
      </c>
      <c r="G65" s="35">
        <f>SUMIFS(WORKING!$AC$3:$AC$6802,WORKING!$A$3:$A$6802,Results!$D$3,WORKING!$B$3:$B$6802,Results!A65,WORKING!$C$3:$C$6802,Results!C65)/1000</f>
        <v>257.14814999999999</v>
      </c>
      <c r="H65" s="35">
        <f t="shared" ref="H65:H80" si="60">IFERROR(G65/F65,0)</f>
        <v>85.716049999999996</v>
      </c>
      <c r="I65" s="187">
        <v>3</v>
      </c>
      <c r="J65" s="212">
        <v>257.14814999999999</v>
      </c>
      <c r="K65" s="217">
        <f t="shared" ref="K65:K80" si="61">IFERROR(IF(J65="",G65,J65)/IF(I65="",F65,I65),"")</f>
        <v>85.716049999999996</v>
      </c>
      <c r="L65" s="34">
        <f t="shared" si="54"/>
        <v>3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93.159042696012932</v>
      </c>
      <c r="N65" s="57">
        <v>0</v>
      </c>
      <c r="O65" s="57">
        <v>1</v>
      </c>
      <c r="P65" s="61">
        <f t="shared" si="55"/>
        <v>2</v>
      </c>
      <c r="Q65" s="40">
        <f t="shared" ref="Q65:Q80" si="62">M65*N65</f>
        <v>0</v>
      </c>
      <c r="R65" s="40">
        <f t="shared" ref="R65:R80" si="63">-M65*O65</f>
        <v>-93.159042696012932</v>
      </c>
      <c r="S65" s="44">
        <f t="shared" ref="S65:S80" si="64">M65*P65</f>
        <v>186.31808539202586</v>
      </c>
      <c r="T65" s="35">
        <f t="shared" ref="T65:T80" si="65">P65</f>
        <v>2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101.03115039929337</v>
      </c>
      <c r="V65" s="57">
        <v>0</v>
      </c>
      <c r="W65" s="57">
        <v>0</v>
      </c>
      <c r="X65" s="61">
        <f t="shared" si="56"/>
        <v>2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202.06230079858673</v>
      </c>
      <c r="AB65" s="35">
        <f t="shared" ref="AB65:AB80" si="69">X65</f>
        <v>2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109.46623460814038</v>
      </c>
      <c r="AD65" s="57">
        <v>0</v>
      </c>
      <c r="AE65" s="57">
        <v>0</v>
      </c>
      <c r="AF65" s="61">
        <f t="shared" si="57"/>
        <v>2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218.93246921628077</v>
      </c>
      <c r="AJ65" s="35">
        <f t="shared" si="58"/>
        <v>2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118.38403127499922</v>
      </c>
      <c r="AL65" s="57">
        <v>0</v>
      </c>
      <c r="AM65" s="57">
        <v>0</v>
      </c>
      <c r="AN65" s="61">
        <f t="shared" si="59"/>
        <v>2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236.76806254999843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4</v>
      </c>
      <c r="G68" s="35">
        <f>SUMIFS(WORKING!$AC$3:$AC$6802,WORKING!$A$3:$A$6802,Results!$D$3,WORKING!$B$3:$B$6802,Results!A68,WORKING!$C$3:$C$6802,Results!C68)/1000</f>
        <v>748.9049399999999</v>
      </c>
      <c r="H68" s="35">
        <f t="shared" si="60"/>
        <v>187.22623499999997</v>
      </c>
      <c r="I68" s="187">
        <v>4</v>
      </c>
      <c r="J68" s="212">
        <v>749</v>
      </c>
      <c r="K68" s="217">
        <f t="shared" si="61"/>
        <v>187.25</v>
      </c>
      <c r="L68" s="34">
        <f t="shared" si="54"/>
        <v>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203.98985455267359</v>
      </c>
      <c r="N68" s="57">
        <v>0</v>
      </c>
      <c r="O68" s="57">
        <v>1</v>
      </c>
      <c r="P68" s="61">
        <f t="shared" si="55"/>
        <v>3</v>
      </c>
      <c r="Q68" s="40">
        <f t="shared" si="62"/>
        <v>0</v>
      </c>
      <c r="R68" s="40">
        <f t="shared" si="63"/>
        <v>-203.98985455267359</v>
      </c>
      <c r="S68" s="44">
        <f t="shared" si="64"/>
        <v>611.96956365802077</v>
      </c>
      <c r="T68" s="35">
        <f t="shared" si="65"/>
        <v>3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221.38006089055736</v>
      </c>
      <c r="V68" s="57">
        <v>0</v>
      </c>
      <c r="W68" s="57">
        <v>0</v>
      </c>
      <c r="X68" s="61">
        <f t="shared" si="56"/>
        <v>3</v>
      </c>
      <c r="Y68" s="40">
        <f t="shared" si="66"/>
        <v>0</v>
      </c>
      <c r="Z68" s="40">
        <f t="shared" si="67"/>
        <v>0</v>
      </c>
      <c r="AA68" s="44">
        <f t="shared" si="68"/>
        <v>664.14018267167205</v>
      </c>
      <c r="AB68" s="35">
        <f t="shared" si="69"/>
        <v>3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240.02845392376273</v>
      </c>
      <c r="AD68" s="57">
        <v>0</v>
      </c>
      <c r="AE68" s="57">
        <v>0</v>
      </c>
      <c r="AF68" s="61">
        <f t="shared" si="57"/>
        <v>3</v>
      </c>
      <c r="AG68" s="40">
        <f t="shared" si="70"/>
        <v>0</v>
      </c>
      <c r="AH68" s="40">
        <f t="shared" si="71"/>
        <v>0</v>
      </c>
      <c r="AI68" s="44">
        <f t="shared" si="72"/>
        <v>720.08536177128815</v>
      </c>
      <c r="AJ68" s="35">
        <f t="shared" si="58"/>
        <v>3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259.76126824915963</v>
      </c>
      <c r="AL68" s="57">
        <v>0</v>
      </c>
      <c r="AM68" s="57">
        <v>0</v>
      </c>
      <c r="AN68" s="61">
        <f t="shared" si="59"/>
        <v>3</v>
      </c>
      <c r="AO68" s="40">
        <f t="shared" si="73"/>
        <v>0</v>
      </c>
      <c r="AP68" s="40">
        <f t="shared" si="74"/>
        <v>0</v>
      </c>
      <c r="AQ68" s="44">
        <f t="shared" si="75"/>
        <v>779.28380474747883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5</v>
      </c>
      <c r="G69" s="35">
        <f>SUMIFS(WORKING!$AC$3:$AC$6802,WORKING!$A$3:$A$6802,Results!$D$3,WORKING!$B$3:$B$6802,Results!A69,WORKING!$C$3:$C$6802,Results!C69)/1000</f>
        <v>1238.2399500000001</v>
      </c>
      <c r="H69" s="35">
        <f t="shared" si="60"/>
        <v>247.64799000000002</v>
      </c>
      <c r="I69" s="187">
        <v>1</v>
      </c>
      <c r="J69" s="212">
        <v>235</v>
      </c>
      <c r="K69" s="217">
        <f t="shared" si="61"/>
        <v>235</v>
      </c>
      <c r="L69" s="34">
        <f t="shared" si="54"/>
        <v>1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255.51129912981827</v>
      </c>
      <c r="N69" s="57">
        <v>2</v>
      </c>
      <c r="O69" s="57">
        <v>0</v>
      </c>
      <c r="P69" s="61">
        <f t="shared" si="55"/>
        <v>3</v>
      </c>
      <c r="Q69" s="40">
        <f t="shared" si="62"/>
        <v>511.02259825963654</v>
      </c>
      <c r="R69" s="40">
        <f t="shared" si="63"/>
        <v>0</v>
      </c>
      <c r="S69" s="44">
        <f t="shared" si="64"/>
        <v>766.53389738945475</v>
      </c>
      <c r="T69" s="35">
        <f t="shared" si="65"/>
        <v>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277.14093337947611</v>
      </c>
      <c r="V69" s="57">
        <v>1</v>
      </c>
      <c r="W69" s="57">
        <v>0</v>
      </c>
      <c r="X69" s="61">
        <f t="shared" si="56"/>
        <v>4</v>
      </c>
      <c r="Y69" s="40">
        <f t="shared" si="66"/>
        <v>277.14093337947611</v>
      </c>
      <c r="Z69" s="40">
        <f t="shared" si="67"/>
        <v>0</v>
      </c>
      <c r="AA69" s="44">
        <f t="shared" si="68"/>
        <v>1108.5637335179044</v>
      </c>
      <c r="AB69" s="35">
        <f t="shared" si="69"/>
        <v>4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300.32086771912356</v>
      </c>
      <c r="AD69" s="57">
        <v>0</v>
      </c>
      <c r="AE69" s="57">
        <v>0</v>
      </c>
      <c r="AF69" s="61">
        <f t="shared" si="57"/>
        <v>4</v>
      </c>
      <c r="AG69" s="40">
        <f t="shared" si="70"/>
        <v>0</v>
      </c>
      <c r="AH69" s="40">
        <f t="shared" si="71"/>
        <v>0</v>
      </c>
      <c r="AI69" s="44">
        <f t="shared" si="72"/>
        <v>1201.2834708764942</v>
      </c>
      <c r="AJ69" s="35">
        <f t="shared" si="58"/>
        <v>4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324.83120652549053</v>
      </c>
      <c r="AL69" s="57">
        <v>0</v>
      </c>
      <c r="AM69" s="57">
        <v>0</v>
      </c>
      <c r="AN69" s="61">
        <f t="shared" si="59"/>
        <v>4</v>
      </c>
      <c r="AO69" s="40">
        <f t="shared" si="73"/>
        <v>0</v>
      </c>
      <c r="AP69" s="40">
        <f t="shared" si="74"/>
        <v>0</v>
      </c>
      <c r="AQ69" s="44">
        <f t="shared" si="75"/>
        <v>1299.3248261019621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</v>
      </c>
      <c r="G70" s="35">
        <f>SUMIFS(WORKING!$AC$3:$AC$6802,WORKING!$A$3:$A$6802,Results!$D$3,WORKING!$B$3:$B$6802,Results!A70,WORKING!$C$3:$C$6802,Results!C70)/1000</f>
        <v>423.99506999999994</v>
      </c>
      <c r="H70" s="35">
        <f t="shared" si="60"/>
        <v>211.99753499999997</v>
      </c>
      <c r="I70" s="187">
        <v>2</v>
      </c>
      <c r="J70" s="212">
        <v>467</v>
      </c>
      <c r="K70" s="217">
        <f t="shared" si="61"/>
        <v>233.5</v>
      </c>
      <c r="L70" s="34">
        <f t="shared" si="54"/>
        <v>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254.10622068040561</v>
      </c>
      <c r="N70" s="57">
        <v>0</v>
      </c>
      <c r="O70" s="57">
        <v>0</v>
      </c>
      <c r="P70" s="61">
        <f t="shared" si="55"/>
        <v>2</v>
      </c>
      <c r="Q70" s="40">
        <f t="shared" si="62"/>
        <v>0</v>
      </c>
      <c r="R70" s="40">
        <f t="shared" si="63"/>
        <v>0</v>
      </c>
      <c r="S70" s="44">
        <f t="shared" si="64"/>
        <v>508.21244136081123</v>
      </c>
      <c r="T70" s="35">
        <f t="shared" si="65"/>
        <v>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275.68562088043819</v>
      </c>
      <c r="V70" s="57">
        <v>0</v>
      </c>
      <c r="W70" s="57">
        <v>0</v>
      </c>
      <c r="X70" s="61">
        <f t="shared" si="56"/>
        <v>2</v>
      </c>
      <c r="Y70" s="40">
        <f t="shared" si="66"/>
        <v>0</v>
      </c>
      <c r="Z70" s="40">
        <f t="shared" si="67"/>
        <v>0</v>
      </c>
      <c r="AA70" s="44">
        <f t="shared" si="68"/>
        <v>551.37124176087639</v>
      </c>
      <c r="AB70" s="35">
        <f t="shared" si="69"/>
        <v>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298.81836324759303</v>
      </c>
      <c r="AD70" s="57">
        <v>0</v>
      </c>
      <c r="AE70" s="57">
        <v>0</v>
      </c>
      <c r="AF70" s="61">
        <f t="shared" si="57"/>
        <v>2</v>
      </c>
      <c r="AG70" s="40">
        <f t="shared" si="70"/>
        <v>0</v>
      </c>
      <c r="AH70" s="40">
        <f t="shared" si="71"/>
        <v>0</v>
      </c>
      <c r="AI70" s="44">
        <f t="shared" si="72"/>
        <v>597.63672649518605</v>
      </c>
      <c r="AJ70" s="35">
        <f t="shared" si="58"/>
        <v>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323.28682898467486</v>
      </c>
      <c r="AL70" s="57">
        <v>0</v>
      </c>
      <c r="AM70" s="57">
        <v>0</v>
      </c>
      <c r="AN70" s="61">
        <f t="shared" si="59"/>
        <v>2</v>
      </c>
      <c r="AO70" s="40">
        <f t="shared" si="73"/>
        <v>0</v>
      </c>
      <c r="AP70" s="40">
        <f t="shared" si="74"/>
        <v>0</v>
      </c>
      <c r="AQ70" s="44">
        <f t="shared" si="75"/>
        <v>646.57365796934971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</v>
      </c>
      <c r="G71" s="35">
        <f>SUMIFS(WORKING!$AC$3:$AC$6802,WORKING!$A$3:$A$6802,Results!$D$3,WORKING!$B$3:$B$6802,Results!A71,WORKING!$C$3:$C$6802,Results!C71)/1000</f>
        <v>148.27466000000001</v>
      </c>
      <c r="H71" s="35">
        <f>IFERROR(G71/F71,0)</f>
        <v>148.27466000000001</v>
      </c>
      <c r="I71" s="187">
        <v>1</v>
      </c>
      <c r="J71" s="212">
        <v>148</v>
      </c>
      <c r="K71" s="217">
        <f t="shared" si="61"/>
        <v>148</v>
      </c>
      <c r="L71" s="34">
        <f t="shared" si="54"/>
        <v>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161.10578989952648</v>
      </c>
      <c r="N71" s="57">
        <v>0</v>
      </c>
      <c r="O71" s="57">
        <v>0</v>
      </c>
      <c r="P71" s="61">
        <f t="shared" si="55"/>
        <v>1</v>
      </c>
      <c r="Q71" s="40">
        <f t="shared" si="62"/>
        <v>0</v>
      </c>
      <c r="R71" s="40">
        <f t="shared" si="63"/>
        <v>0</v>
      </c>
      <c r="S71" s="44">
        <f t="shared" si="64"/>
        <v>161.10578989952648</v>
      </c>
      <c r="T71" s="35">
        <f t="shared" si="65"/>
        <v>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174.80620735082059</v>
      </c>
      <c r="V71" s="57">
        <v>0</v>
      </c>
      <c r="W71" s="57">
        <v>0</v>
      </c>
      <c r="X71" s="61">
        <f t="shared" si="56"/>
        <v>1</v>
      </c>
      <c r="Y71" s="40">
        <f t="shared" si="66"/>
        <v>0</v>
      </c>
      <c r="Z71" s="40">
        <f t="shared" si="67"/>
        <v>0</v>
      </c>
      <c r="AA71" s="44">
        <f t="shared" si="68"/>
        <v>174.80620735082059</v>
      </c>
      <c r="AB71" s="35">
        <f t="shared" si="69"/>
        <v>1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189.49437970705131</v>
      </c>
      <c r="AD71" s="57">
        <v>0</v>
      </c>
      <c r="AE71" s="57">
        <v>0</v>
      </c>
      <c r="AF71" s="61">
        <f t="shared" si="57"/>
        <v>1</v>
      </c>
      <c r="AG71" s="40">
        <f t="shared" si="70"/>
        <v>0</v>
      </c>
      <c r="AH71" s="40">
        <f t="shared" si="71"/>
        <v>0</v>
      </c>
      <c r="AI71" s="44">
        <f t="shared" si="72"/>
        <v>189.49437970705131</v>
      </c>
      <c r="AJ71" s="35">
        <f t="shared" si="58"/>
        <v>1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205.03227859746053</v>
      </c>
      <c r="AL71" s="57">
        <v>0</v>
      </c>
      <c r="AM71" s="57">
        <v>0</v>
      </c>
      <c r="AN71" s="61">
        <f t="shared" si="59"/>
        <v>1</v>
      </c>
      <c r="AO71" s="40">
        <f t="shared" si="73"/>
        <v>0</v>
      </c>
      <c r="AP71" s="40">
        <f t="shared" si="74"/>
        <v>0</v>
      </c>
      <c r="AQ71" s="44">
        <f t="shared" si="75"/>
        <v>205.03227859746053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</v>
      </c>
      <c r="G72" s="35">
        <f>SUMIFS(WORKING!$AC$3:$AC$6802,WORKING!$A$3:$A$6802,Results!$D$3,WORKING!$B$3:$B$6802,Results!A72,WORKING!$C$3:$C$6802,Results!C72)/1000</f>
        <v>840.06737999999996</v>
      </c>
      <c r="H72" s="35">
        <f t="shared" si="60"/>
        <v>420.03368999999998</v>
      </c>
      <c r="I72" s="187">
        <v>0</v>
      </c>
      <c r="J72" s="212">
        <v>0</v>
      </c>
      <c r="K72" s="217" t="str">
        <f>IFERROR(IF(J72="",G72,J72)/IF(I72="",F72,I72),"")</f>
        <v/>
      </c>
      <c r="L72" s="34">
        <f t="shared" si="54"/>
        <v>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458.73446504220004</v>
      </c>
      <c r="N72" s="57">
        <v>0</v>
      </c>
      <c r="O72" s="57">
        <v>0</v>
      </c>
      <c r="P72" s="61">
        <f t="shared" si="55"/>
        <v>0</v>
      </c>
      <c r="Q72" s="40">
        <f t="shared" si="62"/>
        <v>0</v>
      </c>
      <c r="R72" s="40">
        <f t="shared" si="63"/>
        <v>0</v>
      </c>
      <c r="S72" s="44">
        <f t="shared" si="64"/>
        <v>0</v>
      </c>
      <c r="T72" s="35">
        <f t="shared" si="65"/>
        <v>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498.2073394439638</v>
      </c>
      <c r="V72" s="57">
        <v>0</v>
      </c>
      <c r="W72" s="57">
        <v>0</v>
      </c>
      <c r="X72" s="61">
        <f t="shared" si="56"/>
        <v>0</v>
      </c>
      <c r="Y72" s="40">
        <f t="shared" si="66"/>
        <v>0</v>
      </c>
      <c r="Z72" s="40">
        <f t="shared" si="67"/>
        <v>0</v>
      </c>
      <c r="AA72" s="44">
        <f t="shared" si="68"/>
        <v>0</v>
      </c>
      <c r="AB72" s="35">
        <f t="shared" si="69"/>
        <v>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540.57106996203288</v>
      </c>
      <c r="AD72" s="57">
        <v>0</v>
      </c>
      <c r="AE72" s="57">
        <v>0</v>
      </c>
      <c r="AF72" s="61">
        <f t="shared" si="57"/>
        <v>0</v>
      </c>
      <c r="AG72" s="40">
        <f t="shared" si="70"/>
        <v>0</v>
      </c>
      <c r="AH72" s="40">
        <f t="shared" si="71"/>
        <v>0</v>
      </c>
      <c r="AI72" s="44">
        <f t="shared" si="72"/>
        <v>0</v>
      </c>
      <c r="AJ72" s="35">
        <f t="shared" si="58"/>
        <v>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585.43973059047858</v>
      </c>
      <c r="AL72" s="57">
        <v>0</v>
      </c>
      <c r="AM72" s="57">
        <v>0</v>
      </c>
      <c r="AN72" s="61">
        <f t="shared" si="59"/>
        <v>0</v>
      </c>
      <c r="AO72" s="40">
        <f t="shared" si="73"/>
        <v>0</v>
      </c>
      <c r="AP72" s="40">
        <f t="shared" si="74"/>
        <v>0</v>
      </c>
      <c r="AQ72" s="44">
        <f t="shared" si="75"/>
        <v>0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 t="s">
        <v>754</v>
      </c>
      <c r="J73" s="212" t="s">
        <v>754</v>
      </c>
      <c r="K73" s="217" t="str">
        <f t="shared" si="61"/>
        <v/>
      </c>
      <c r="L73" s="34">
        <f t="shared" si="54"/>
        <v>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0</v>
      </c>
      <c r="N73" s="57">
        <v>0</v>
      </c>
      <c r="O73" s="57">
        <v>0</v>
      </c>
      <c r="P73" s="61">
        <f t="shared" si="55"/>
        <v>0</v>
      </c>
      <c r="Q73" s="40">
        <f t="shared" si="62"/>
        <v>0</v>
      </c>
      <c r="R73" s="40">
        <f t="shared" si="63"/>
        <v>0</v>
      </c>
      <c r="S73" s="44">
        <f t="shared" si="64"/>
        <v>0</v>
      </c>
      <c r="T73" s="35">
        <f t="shared" si="65"/>
        <v>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0</v>
      </c>
      <c r="V73" s="57">
        <v>0</v>
      </c>
      <c r="W73" s="57">
        <v>0</v>
      </c>
      <c r="X73" s="61">
        <f t="shared" si="56"/>
        <v>0</v>
      </c>
      <c r="Y73" s="40">
        <f t="shared" si="66"/>
        <v>0</v>
      </c>
      <c r="Z73" s="40">
        <f t="shared" si="67"/>
        <v>0</v>
      </c>
      <c r="AA73" s="44">
        <f t="shared" si="68"/>
        <v>0</v>
      </c>
      <c r="AB73" s="35">
        <f t="shared" si="69"/>
        <v>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0</v>
      </c>
      <c r="AD73" s="57">
        <v>0</v>
      </c>
      <c r="AE73" s="57">
        <v>0</v>
      </c>
      <c r="AF73" s="61">
        <f t="shared" si="57"/>
        <v>0</v>
      </c>
      <c r="AG73" s="40">
        <f t="shared" si="70"/>
        <v>0</v>
      </c>
      <c r="AH73" s="40">
        <f t="shared" si="71"/>
        <v>0</v>
      </c>
      <c r="AI73" s="44">
        <f t="shared" si="72"/>
        <v>0</v>
      </c>
      <c r="AJ73" s="35">
        <f t="shared" si="58"/>
        <v>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0</v>
      </c>
      <c r="AL73" s="57">
        <v>0</v>
      </c>
      <c r="AM73" s="57">
        <v>0</v>
      </c>
      <c r="AN73" s="61">
        <f t="shared" si="59"/>
        <v>0</v>
      </c>
      <c r="AO73" s="40">
        <f t="shared" si="73"/>
        <v>0</v>
      </c>
      <c r="AP73" s="40">
        <f t="shared" si="74"/>
        <v>0</v>
      </c>
      <c r="AQ73" s="44">
        <f t="shared" si="75"/>
        <v>0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8</v>
      </c>
      <c r="G74" s="35">
        <f>SUMIFS(WORKING!$AC$3:$AC$6802,WORKING!$A$3:$A$6802,Results!$D$3,WORKING!$B$3:$B$6802,Results!A74,WORKING!$C$3:$C$6802,Results!C74)/1000</f>
        <v>4172.5738700000011</v>
      </c>
      <c r="H74" s="35">
        <f t="shared" si="60"/>
        <v>521.57173375000013</v>
      </c>
      <c r="I74" s="187">
        <v>3</v>
      </c>
      <c r="J74" s="212">
        <v>1528</v>
      </c>
      <c r="K74" s="217">
        <f t="shared" si="61"/>
        <v>509.33333333333331</v>
      </c>
      <c r="L74" s="34">
        <f t="shared" si="54"/>
        <v>3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556.2133701919181</v>
      </c>
      <c r="N74" s="57">
        <v>1</v>
      </c>
      <c r="O74" s="57">
        <v>0</v>
      </c>
      <c r="P74" s="61">
        <f t="shared" si="55"/>
        <v>4</v>
      </c>
      <c r="Q74" s="40">
        <f t="shared" si="62"/>
        <v>556.2133701919181</v>
      </c>
      <c r="R74" s="40">
        <f t="shared" si="63"/>
        <v>0</v>
      </c>
      <c r="S74" s="44">
        <f t="shared" si="64"/>
        <v>2224.8534807676724</v>
      </c>
      <c r="T74" s="35">
        <f t="shared" si="65"/>
        <v>4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604.021302057144</v>
      </c>
      <c r="V74" s="57">
        <v>0</v>
      </c>
      <c r="W74" s="57">
        <v>0</v>
      </c>
      <c r="X74" s="61">
        <f t="shared" si="56"/>
        <v>4</v>
      </c>
      <c r="Y74" s="40">
        <f t="shared" si="66"/>
        <v>0</v>
      </c>
      <c r="Z74" s="40">
        <f t="shared" si="67"/>
        <v>0</v>
      </c>
      <c r="AA74" s="44">
        <f t="shared" si="68"/>
        <v>2416.085208228576</v>
      </c>
      <c r="AB74" s="35">
        <f t="shared" si="69"/>
        <v>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655.32541878754023</v>
      </c>
      <c r="AD74" s="57">
        <v>0</v>
      </c>
      <c r="AE74" s="57">
        <v>0</v>
      </c>
      <c r="AF74" s="61">
        <f t="shared" si="57"/>
        <v>4</v>
      </c>
      <c r="AG74" s="40">
        <f t="shared" si="70"/>
        <v>0</v>
      </c>
      <c r="AH74" s="40">
        <f t="shared" si="71"/>
        <v>0</v>
      </c>
      <c r="AI74" s="44">
        <f t="shared" si="72"/>
        <v>2621.3016751501609</v>
      </c>
      <c r="AJ74" s="35">
        <f t="shared" si="58"/>
        <v>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709.65699263059162</v>
      </c>
      <c r="AL74" s="57">
        <v>0</v>
      </c>
      <c r="AM74" s="57">
        <v>0</v>
      </c>
      <c r="AN74" s="61">
        <f t="shared" si="59"/>
        <v>4</v>
      </c>
      <c r="AO74" s="40">
        <f t="shared" si="73"/>
        <v>0</v>
      </c>
      <c r="AP74" s="40">
        <f t="shared" si="74"/>
        <v>0</v>
      </c>
      <c r="AQ74" s="44">
        <f t="shared" si="75"/>
        <v>2838.6279705223665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</v>
      </c>
      <c r="G75" s="35">
        <f>SUMIFS(WORKING!$AC$3:$AC$6802,WORKING!$A$3:$A$6802,Results!$D$3,WORKING!$B$3:$B$6802,Results!A75,WORKING!$C$3:$C$6802,Results!C75)/1000</f>
        <v>684.43181000000004</v>
      </c>
      <c r="H75" s="35">
        <f t="shared" si="60"/>
        <v>684.43181000000004</v>
      </c>
      <c r="I75" s="187">
        <v>0</v>
      </c>
      <c r="J75" s="212">
        <v>0</v>
      </c>
      <c r="K75" s="217" t="str">
        <f t="shared" si="61"/>
        <v/>
      </c>
      <c r="L75" s="34">
        <f t="shared" si="54"/>
        <v>0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747.494227819</v>
      </c>
      <c r="N75" s="57">
        <v>1</v>
      </c>
      <c r="O75" s="57">
        <v>0</v>
      </c>
      <c r="P75" s="61">
        <f t="shared" si="55"/>
        <v>1</v>
      </c>
      <c r="Q75" s="40">
        <f t="shared" si="62"/>
        <v>747.494227819</v>
      </c>
      <c r="R75" s="40">
        <f t="shared" si="63"/>
        <v>0</v>
      </c>
      <c r="S75" s="44">
        <f t="shared" si="64"/>
        <v>747.494227819</v>
      </c>
      <c r="T75" s="35">
        <f t="shared" si="65"/>
        <v>1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811.81487980654128</v>
      </c>
      <c r="V75" s="57">
        <v>0</v>
      </c>
      <c r="W75" s="57">
        <v>0</v>
      </c>
      <c r="X75" s="61">
        <f t="shared" si="56"/>
        <v>1</v>
      </c>
      <c r="Y75" s="40">
        <f t="shared" si="66"/>
        <v>0</v>
      </c>
      <c r="Z75" s="40">
        <f t="shared" si="67"/>
        <v>0</v>
      </c>
      <c r="AA75" s="44">
        <f t="shared" si="68"/>
        <v>811.81487980654128</v>
      </c>
      <c r="AB75" s="35">
        <f t="shared" si="69"/>
        <v>1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880.84622751681161</v>
      </c>
      <c r="AD75" s="57">
        <v>0</v>
      </c>
      <c r="AE75" s="57">
        <v>0</v>
      </c>
      <c r="AF75" s="61">
        <f t="shared" si="57"/>
        <v>1</v>
      </c>
      <c r="AG75" s="40">
        <f t="shared" si="70"/>
        <v>0</v>
      </c>
      <c r="AH75" s="40">
        <f t="shared" si="71"/>
        <v>0</v>
      </c>
      <c r="AI75" s="44">
        <f t="shared" si="72"/>
        <v>880.84622751681161</v>
      </c>
      <c r="AJ75" s="35">
        <f t="shared" si="58"/>
        <v>1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953.95942759398088</v>
      </c>
      <c r="AL75" s="57">
        <v>0</v>
      </c>
      <c r="AM75" s="57">
        <v>0</v>
      </c>
      <c r="AN75" s="61">
        <f t="shared" si="59"/>
        <v>1</v>
      </c>
      <c r="AO75" s="40">
        <f t="shared" si="73"/>
        <v>0</v>
      </c>
      <c r="AP75" s="40">
        <f t="shared" si="74"/>
        <v>0</v>
      </c>
      <c r="AQ75" s="44">
        <f t="shared" si="75"/>
        <v>953.95942759398088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</v>
      </c>
      <c r="G76" s="35">
        <f>SUMIFS(WORKING!$AC$3:$AC$6802,WORKING!$A$3:$A$6802,Results!$D$3,WORKING!$B$3:$B$6802,Results!A76,WORKING!$C$3:$C$6802,Results!C76)/1000</f>
        <v>1893.5801700000002</v>
      </c>
      <c r="H76" s="35">
        <f t="shared" si="60"/>
        <v>946.79008500000009</v>
      </c>
      <c r="I76" s="187">
        <v>1</v>
      </c>
      <c r="J76" s="212">
        <v>952</v>
      </c>
      <c r="K76" s="217">
        <f t="shared" si="61"/>
        <v>952</v>
      </c>
      <c r="L76" s="34">
        <f t="shared" si="54"/>
        <v>1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997.5994646223877</v>
      </c>
      <c r="N76" s="57">
        <v>0</v>
      </c>
      <c r="O76" s="57">
        <v>0</v>
      </c>
      <c r="P76" s="61">
        <f t="shared" si="55"/>
        <v>1</v>
      </c>
      <c r="Q76" s="40">
        <f t="shared" si="62"/>
        <v>0</v>
      </c>
      <c r="R76" s="40">
        <f t="shared" si="63"/>
        <v>0</v>
      </c>
      <c r="S76" s="44">
        <f t="shared" si="64"/>
        <v>997.5994646223877</v>
      </c>
      <c r="T76" s="35">
        <f t="shared" si="65"/>
        <v>1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1072.7067419319669</v>
      </c>
      <c r="V76" s="57">
        <v>0</v>
      </c>
      <c r="W76" s="57">
        <v>0</v>
      </c>
      <c r="X76" s="61">
        <f t="shared" si="56"/>
        <v>1</v>
      </c>
      <c r="Y76" s="40">
        <f t="shared" si="66"/>
        <v>0</v>
      </c>
      <c r="Z76" s="40">
        <f t="shared" si="67"/>
        <v>0</v>
      </c>
      <c r="AA76" s="44">
        <f t="shared" si="68"/>
        <v>1072.7067419319669</v>
      </c>
      <c r="AB76" s="35">
        <f t="shared" si="69"/>
        <v>1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1152.3805185837909</v>
      </c>
      <c r="AD76" s="57">
        <v>0</v>
      </c>
      <c r="AE76" s="57">
        <v>0</v>
      </c>
      <c r="AF76" s="61">
        <f t="shared" si="57"/>
        <v>1</v>
      </c>
      <c r="AG76" s="40">
        <f t="shared" si="70"/>
        <v>0</v>
      </c>
      <c r="AH76" s="40">
        <f t="shared" si="71"/>
        <v>0</v>
      </c>
      <c r="AI76" s="44">
        <f t="shared" si="72"/>
        <v>1152.3805185837909</v>
      </c>
      <c r="AJ76" s="35">
        <f t="shared" si="58"/>
        <v>1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1235.6339505541353</v>
      </c>
      <c r="AL76" s="57">
        <v>0</v>
      </c>
      <c r="AM76" s="57">
        <v>0</v>
      </c>
      <c r="AN76" s="61">
        <f t="shared" si="59"/>
        <v>1</v>
      </c>
      <c r="AO76" s="40">
        <f t="shared" si="73"/>
        <v>0</v>
      </c>
      <c r="AP76" s="40">
        <f t="shared" si="74"/>
        <v>0</v>
      </c>
      <c r="AQ76" s="44">
        <f t="shared" si="75"/>
        <v>1235.6339505541353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</v>
      </c>
      <c r="G77" s="35">
        <f>SUMIFS(WORKING!$AC$3:$AC$6802,WORKING!$A$3:$A$6802,Results!$D$3,WORKING!$B$3:$B$6802,Results!A77,WORKING!$C$3:$C$6802,Results!C77)/1000</f>
        <v>3335.7683299999999</v>
      </c>
      <c r="H77" s="35">
        <f t="shared" si="60"/>
        <v>1111.9227766666666</v>
      </c>
      <c r="I77" s="187">
        <v>0</v>
      </c>
      <c r="J77" s="212">
        <v>0</v>
      </c>
      <c r="K77" s="217" t="str">
        <f t="shared" si="61"/>
        <v/>
      </c>
      <c r="L77" s="34">
        <f t="shared" si="54"/>
        <v>0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1165.3230119309164</v>
      </c>
      <c r="N77" s="57">
        <v>0</v>
      </c>
      <c r="O77" s="57">
        <v>0</v>
      </c>
      <c r="P77" s="61">
        <f t="shared" si="55"/>
        <v>0</v>
      </c>
      <c r="Q77" s="40">
        <f t="shared" si="62"/>
        <v>0</v>
      </c>
      <c r="R77" s="40">
        <f t="shared" si="63"/>
        <v>0</v>
      </c>
      <c r="S77" s="44">
        <f t="shared" si="64"/>
        <v>0</v>
      </c>
      <c r="T77" s="35">
        <f t="shared" si="65"/>
        <v>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1253.2091659531231</v>
      </c>
      <c r="V77" s="57">
        <v>0</v>
      </c>
      <c r="W77" s="57">
        <v>0</v>
      </c>
      <c r="X77" s="61">
        <f t="shared" si="56"/>
        <v>0</v>
      </c>
      <c r="Y77" s="40">
        <f t="shared" si="66"/>
        <v>0</v>
      </c>
      <c r="Z77" s="40">
        <f t="shared" si="67"/>
        <v>0</v>
      </c>
      <c r="AA77" s="44">
        <f t="shared" si="68"/>
        <v>0</v>
      </c>
      <c r="AB77" s="35">
        <f t="shared" si="69"/>
        <v>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1346.4520673301035</v>
      </c>
      <c r="AD77" s="57">
        <v>0</v>
      </c>
      <c r="AE77" s="57">
        <v>0</v>
      </c>
      <c r="AF77" s="61">
        <f t="shared" si="57"/>
        <v>0</v>
      </c>
      <c r="AG77" s="40">
        <f t="shared" si="70"/>
        <v>0</v>
      </c>
      <c r="AH77" s="40">
        <f t="shared" si="71"/>
        <v>0</v>
      </c>
      <c r="AI77" s="44">
        <f t="shared" si="72"/>
        <v>0</v>
      </c>
      <c r="AJ77" s="35">
        <f t="shared" si="58"/>
        <v>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1443.9004757549942</v>
      </c>
      <c r="AL77" s="57">
        <v>0</v>
      </c>
      <c r="AM77" s="57">
        <v>0</v>
      </c>
      <c r="AN77" s="61">
        <f t="shared" si="59"/>
        <v>0</v>
      </c>
      <c r="AO77" s="40">
        <f t="shared" si="73"/>
        <v>0</v>
      </c>
      <c r="AP77" s="40">
        <f t="shared" si="74"/>
        <v>0</v>
      </c>
      <c r="AQ77" s="44">
        <f t="shared" si="75"/>
        <v>0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1821.2901200000001</v>
      </c>
      <c r="H78" s="35">
        <f t="shared" si="60"/>
        <v>1821.2901200000001</v>
      </c>
      <c r="I78" s="187">
        <v>1</v>
      </c>
      <c r="J78" s="212">
        <v>1821</v>
      </c>
      <c r="K78" s="217">
        <f t="shared" si="61"/>
        <v>1821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1909.3083111424789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1909.3083111424789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2054.2236458365483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2054.2236458365483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2208.0529301090651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2208.0529301090651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2368.9192815671668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2368.9192815671668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 t="s">
        <v>754</v>
      </c>
      <c r="J79" s="212" t="s">
        <v>754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0</v>
      </c>
      <c r="N79" s="57">
        <v>0</v>
      </c>
      <c r="O79" s="57">
        <v>0</v>
      </c>
      <c r="P79" s="61">
        <f t="shared" si="55"/>
        <v>0</v>
      </c>
      <c r="Q79" s="40">
        <f t="shared" si="62"/>
        <v>0</v>
      </c>
      <c r="R79" s="40">
        <f t="shared" si="63"/>
        <v>0</v>
      </c>
      <c r="S79" s="44">
        <f t="shared" si="64"/>
        <v>0</v>
      </c>
      <c r="T79" s="35">
        <f t="shared" si="65"/>
        <v>0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0</v>
      </c>
      <c r="V79" s="57">
        <v>0</v>
      </c>
      <c r="W79" s="57">
        <v>0</v>
      </c>
      <c r="X79" s="61">
        <f t="shared" si="56"/>
        <v>0</v>
      </c>
      <c r="Y79" s="40">
        <f t="shared" si="66"/>
        <v>0</v>
      </c>
      <c r="Z79" s="40">
        <f t="shared" si="67"/>
        <v>0</v>
      </c>
      <c r="AA79" s="44">
        <f t="shared" si="68"/>
        <v>0</v>
      </c>
      <c r="AB79" s="35">
        <f t="shared" si="69"/>
        <v>0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0</v>
      </c>
      <c r="AD79" s="57">
        <v>0</v>
      </c>
      <c r="AE79" s="57">
        <v>0</v>
      </c>
      <c r="AF79" s="61">
        <f t="shared" si="57"/>
        <v>0</v>
      </c>
      <c r="AG79" s="40">
        <f t="shared" si="70"/>
        <v>0</v>
      </c>
      <c r="AH79" s="40">
        <f t="shared" si="71"/>
        <v>0</v>
      </c>
      <c r="AI79" s="44">
        <f t="shared" si="72"/>
        <v>0</v>
      </c>
      <c r="AJ79" s="35">
        <f t="shared" si="58"/>
        <v>0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0</v>
      </c>
      <c r="AL79" s="57">
        <v>0</v>
      </c>
      <c r="AM79" s="57">
        <v>0</v>
      </c>
      <c r="AN79" s="61">
        <f t="shared" si="59"/>
        <v>0</v>
      </c>
      <c r="AO79" s="40">
        <f t="shared" si="73"/>
        <v>0</v>
      </c>
      <c r="AP79" s="40">
        <f t="shared" si="74"/>
        <v>0</v>
      </c>
      <c r="AQ79" s="44">
        <f t="shared" si="75"/>
        <v>0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33</v>
      </c>
      <c r="G84" s="41">
        <f>SUM(G64:G83)</f>
        <v>15572.274449999999</v>
      </c>
      <c r="H84" s="41">
        <f>IFERROR(G84/F84,0)</f>
        <v>471.88710454545452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17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6165.14815</v>
      </c>
      <c r="K84" s="41">
        <f>IFERROR(J84/I84,"")</f>
        <v>362.65577352941176</v>
      </c>
      <c r="L84" s="41">
        <f>SUM(L64:L83)</f>
        <v>17</v>
      </c>
      <c r="M84" s="41">
        <f>IFERROR(S84/P84,0)</f>
        <v>427.48065168691465</v>
      </c>
      <c r="N84" s="41">
        <f t="shared" ref="N84:T84" si="98">SUM(N64:N83)</f>
        <v>4</v>
      </c>
      <c r="O84" s="41">
        <f t="shared" si="98"/>
        <v>2</v>
      </c>
      <c r="P84" s="41">
        <f t="shared" si="98"/>
        <v>19</v>
      </c>
      <c r="Q84" s="41">
        <f t="shared" si="98"/>
        <v>1814.7301962705546</v>
      </c>
      <c r="R84" s="41">
        <f t="shared" si="98"/>
        <v>-297.14889724868652</v>
      </c>
      <c r="S84" s="45">
        <f t="shared" si="98"/>
        <v>8122.132382051379</v>
      </c>
      <c r="T84" s="41">
        <f t="shared" si="98"/>
        <v>19</v>
      </c>
      <c r="U84" s="41">
        <f>IFERROR(AA84/X84,0)</f>
        <v>453.26315455397463</v>
      </c>
      <c r="V84" s="41">
        <f t="shared" ref="V84:AB84" si="99">SUM(V64:V83)</f>
        <v>1</v>
      </c>
      <c r="W84" s="41">
        <f t="shared" si="99"/>
        <v>0</v>
      </c>
      <c r="X84" s="41">
        <f t="shared" si="99"/>
        <v>20</v>
      </c>
      <c r="Y84" s="41">
        <f t="shared" si="99"/>
        <v>277.14093337947611</v>
      </c>
      <c r="Z84" s="41">
        <f t="shared" si="99"/>
        <v>0</v>
      </c>
      <c r="AA84" s="45">
        <f t="shared" si="99"/>
        <v>9065.2630910794924</v>
      </c>
      <c r="AB84" s="41">
        <f t="shared" si="99"/>
        <v>20</v>
      </c>
      <c r="AC84" s="41">
        <f>IFERROR(AI84/AF84,0)</f>
        <v>490.01548006976554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20</v>
      </c>
      <c r="AG84" s="41">
        <f t="shared" si="100"/>
        <v>0</v>
      </c>
      <c r="AH84" s="41">
        <f t="shared" si="100"/>
        <v>0</v>
      </c>
      <c r="AI84" s="45">
        <f t="shared" si="100"/>
        <v>9800.3096013953109</v>
      </c>
      <c r="AJ84" s="41">
        <f t="shared" si="100"/>
        <v>20</v>
      </c>
      <c r="AK84" s="41">
        <f>IFERROR(AQ84/AN84,0)</f>
        <v>528.76368542678654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20</v>
      </c>
      <c r="AO84" s="41">
        <f t="shared" si="101"/>
        <v>0</v>
      </c>
      <c r="AP84" s="41">
        <f t="shared" si="101"/>
        <v>0</v>
      </c>
      <c r="AQ84" s="45">
        <f t="shared" si="101"/>
        <v>10575.273708535731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8141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8760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9245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9947.6200000000008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18.867617948621046</v>
      </c>
      <c r="T86" s="39"/>
      <c r="U86" s="39"/>
      <c r="V86" s="53"/>
      <c r="W86" s="53"/>
      <c r="X86" s="110"/>
      <c r="Y86" s="39"/>
      <c r="Z86" s="39"/>
      <c r="AA86" s="54">
        <f>AA85-AA84</f>
        <v>-305.26309107949237</v>
      </c>
      <c r="AB86" s="39"/>
      <c r="AC86" s="53"/>
      <c r="AD86" s="53"/>
      <c r="AE86" s="110"/>
      <c r="AF86" s="39"/>
      <c r="AG86" s="39"/>
      <c r="AH86" s="39"/>
      <c r="AI86" s="54">
        <f>AI85-AI84</f>
        <v>-555.30960139531089</v>
      </c>
      <c r="AJ86" s="53"/>
      <c r="AK86" s="53"/>
      <c r="AL86" s="110"/>
      <c r="AM86" s="110"/>
      <c r="AN86" s="110"/>
      <c r="AO86" s="110"/>
      <c r="AP86" s="111"/>
      <c r="AQ86" s="54">
        <f>AQ85-AQ84</f>
        <v>-627.6537085357304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Public Sector Innovation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4</v>
      </c>
      <c r="J97" s="212">
        <v>990.59196000000009</v>
      </c>
      <c r="K97" s="217">
        <f t="shared" si="109"/>
        <v>247.64799000000002</v>
      </c>
      <c r="L97" s="34">
        <f t="shared" si="102"/>
        <v>4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265.93126767793126</v>
      </c>
      <c r="N97" s="57">
        <v>0</v>
      </c>
      <c r="O97" s="57">
        <v>0</v>
      </c>
      <c r="P97" s="61">
        <f t="shared" si="103"/>
        <v>4</v>
      </c>
      <c r="Q97" s="40">
        <f t="shared" si="110"/>
        <v>0</v>
      </c>
      <c r="R97" s="40">
        <f t="shared" si="111"/>
        <v>0</v>
      </c>
      <c r="S97" s="44">
        <f t="shared" si="112"/>
        <v>1063.725070711725</v>
      </c>
      <c r="T97" s="35">
        <f t="shared" si="113"/>
        <v>4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284.55526384597476</v>
      </c>
      <c r="V97" s="57">
        <v>0</v>
      </c>
      <c r="W97" s="57">
        <v>0</v>
      </c>
      <c r="X97" s="61">
        <f t="shared" si="104"/>
        <v>4</v>
      </c>
      <c r="Y97" s="40">
        <f t="shared" si="114"/>
        <v>0</v>
      </c>
      <c r="Z97" s="40">
        <f t="shared" si="115"/>
        <v>0</v>
      </c>
      <c r="AA97" s="44">
        <f t="shared" si="116"/>
        <v>1138.2210553838991</v>
      </c>
      <c r="AB97" s="35">
        <f t="shared" si="117"/>
        <v>4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304.19900129377157</v>
      </c>
      <c r="AD97" s="57">
        <v>0</v>
      </c>
      <c r="AE97" s="57">
        <v>0</v>
      </c>
      <c r="AF97" s="61">
        <f t="shared" si="105"/>
        <v>4</v>
      </c>
      <c r="AG97" s="40">
        <f t="shared" si="118"/>
        <v>0</v>
      </c>
      <c r="AH97" s="40">
        <f t="shared" si="119"/>
        <v>0</v>
      </c>
      <c r="AI97" s="44">
        <f t="shared" si="120"/>
        <v>1216.7960051750863</v>
      </c>
      <c r="AJ97" s="35">
        <f t="shared" si="106"/>
        <v>4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324.59040920772952</v>
      </c>
      <c r="AL97" s="57">
        <v>0</v>
      </c>
      <c r="AM97" s="57">
        <v>0</v>
      </c>
      <c r="AN97" s="61">
        <f t="shared" si="107"/>
        <v>4</v>
      </c>
      <c r="AO97" s="40">
        <f t="shared" si="121"/>
        <v>0</v>
      </c>
      <c r="AP97" s="40">
        <f t="shared" si="122"/>
        <v>0</v>
      </c>
      <c r="AQ97" s="44">
        <f t="shared" si="123"/>
        <v>1298.3616368309181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 t="s">
        <v>754</v>
      </c>
      <c r="J98" s="212">
        <v>0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>
        <v>0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 t="s">
        <v>754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>
        <v>0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3</v>
      </c>
      <c r="J102" s="212">
        <v>2047</v>
      </c>
      <c r="K102" s="217">
        <f t="shared" si="109"/>
        <v>682.33333333333337</v>
      </c>
      <c r="L102" s="34">
        <f t="shared" si="102"/>
        <v>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734.19066666666674</v>
      </c>
      <c r="N102" s="57">
        <v>1</v>
      </c>
      <c r="O102" s="57">
        <v>0</v>
      </c>
      <c r="P102" s="61">
        <f t="shared" si="103"/>
        <v>4</v>
      </c>
      <c r="Q102" s="40">
        <f t="shared" si="110"/>
        <v>734.19066666666674</v>
      </c>
      <c r="R102" s="40">
        <f t="shared" si="111"/>
        <v>0</v>
      </c>
      <c r="S102" s="44">
        <f t="shared" si="112"/>
        <v>2936.762666666667</v>
      </c>
      <c r="T102" s="35">
        <f t="shared" si="113"/>
        <v>4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785.58401333333347</v>
      </c>
      <c r="V102" s="57">
        <v>0</v>
      </c>
      <c r="W102" s="57">
        <v>0</v>
      </c>
      <c r="X102" s="61">
        <f t="shared" si="104"/>
        <v>4</v>
      </c>
      <c r="Y102" s="40">
        <f t="shared" si="114"/>
        <v>0</v>
      </c>
      <c r="Z102" s="40">
        <f t="shared" si="115"/>
        <v>0</v>
      </c>
      <c r="AA102" s="44">
        <f t="shared" si="116"/>
        <v>3142.3360533333339</v>
      </c>
      <c r="AB102" s="35">
        <f t="shared" si="117"/>
        <v>4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839.7893102533335</v>
      </c>
      <c r="AD102" s="57">
        <v>0</v>
      </c>
      <c r="AE102" s="57">
        <v>0</v>
      </c>
      <c r="AF102" s="61">
        <f t="shared" si="105"/>
        <v>4</v>
      </c>
      <c r="AG102" s="40">
        <f t="shared" si="118"/>
        <v>0</v>
      </c>
      <c r="AH102" s="40">
        <f t="shared" si="119"/>
        <v>0</v>
      </c>
      <c r="AI102" s="44">
        <f t="shared" si="120"/>
        <v>3359.157241013334</v>
      </c>
      <c r="AJ102" s="35">
        <f t="shared" si="106"/>
        <v>4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896.05519404030679</v>
      </c>
      <c r="AL102" s="57">
        <v>0</v>
      </c>
      <c r="AM102" s="57">
        <v>0</v>
      </c>
      <c r="AN102" s="61">
        <f t="shared" si="107"/>
        <v>4</v>
      </c>
      <c r="AO102" s="40">
        <f t="shared" si="121"/>
        <v>0</v>
      </c>
      <c r="AP102" s="40">
        <f t="shared" si="122"/>
        <v>0</v>
      </c>
      <c r="AQ102" s="44">
        <f t="shared" si="123"/>
        <v>3584.2207761612271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>
        <v>1</v>
      </c>
      <c r="J103" s="212">
        <v>684</v>
      </c>
      <c r="K103" s="217">
        <f t="shared" si="109"/>
        <v>684</v>
      </c>
      <c r="L103" s="34">
        <f t="shared" si="102"/>
        <v>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735.98400000000004</v>
      </c>
      <c r="N103" s="57">
        <v>0</v>
      </c>
      <c r="O103" s="57">
        <v>1</v>
      </c>
      <c r="P103" s="61">
        <f t="shared" si="103"/>
        <v>0</v>
      </c>
      <c r="Q103" s="40">
        <f t="shared" si="110"/>
        <v>0</v>
      </c>
      <c r="R103" s="40">
        <f t="shared" si="111"/>
        <v>-735.98400000000004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787.50288000000012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841.84057872000005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898.24389749424006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>
        <v>1</v>
      </c>
      <c r="J104" s="212">
        <v>946.79008500000009</v>
      </c>
      <c r="K104" s="217">
        <f t="shared" si="109"/>
        <v>946.79008500000009</v>
      </c>
      <c r="L104" s="34">
        <f t="shared" si="102"/>
        <v>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978.03415780500006</v>
      </c>
      <c r="N104" s="57">
        <v>0</v>
      </c>
      <c r="O104" s="57">
        <v>0</v>
      </c>
      <c r="P104" s="61">
        <f t="shared" si="103"/>
        <v>1</v>
      </c>
      <c r="Q104" s="40">
        <f t="shared" si="110"/>
        <v>0</v>
      </c>
      <c r="R104" s="40">
        <f t="shared" si="111"/>
        <v>0</v>
      </c>
      <c r="S104" s="44">
        <f t="shared" si="112"/>
        <v>978.03415780500006</v>
      </c>
      <c r="T104" s="35">
        <f t="shared" si="113"/>
        <v>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1036.7162072733001</v>
      </c>
      <c r="V104" s="57">
        <v>0</v>
      </c>
      <c r="W104" s="57">
        <v>0</v>
      </c>
      <c r="X104" s="61">
        <f t="shared" si="104"/>
        <v>1</v>
      </c>
      <c r="Y104" s="40">
        <f t="shared" si="114"/>
        <v>0</v>
      </c>
      <c r="Z104" s="40">
        <f t="shared" si="115"/>
        <v>0</v>
      </c>
      <c r="AA104" s="44">
        <f t="shared" si="116"/>
        <v>1036.7162072733001</v>
      </c>
      <c r="AB104" s="35">
        <f t="shared" si="117"/>
        <v>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1097.8824635024248</v>
      </c>
      <c r="AD104" s="57">
        <v>0</v>
      </c>
      <c r="AE104" s="57">
        <v>0</v>
      </c>
      <c r="AF104" s="61">
        <f t="shared" si="105"/>
        <v>1</v>
      </c>
      <c r="AG104" s="40">
        <f t="shared" si="118"/>
        <v>0</v>
      </c>
      <c r="AH104" s="40">
        <f t="shared" si="119"/>
        <v>0</v>
      </c>
      <c r="AI104" s="44">
        <f t="shared" si="120"/>
        <v>1097.8824635024248</v>
      </c>
      <c r="AJ104" s="35">
        <f t="shared" si="106"/>
        <v>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1160.461763922063</v>
      </c>
      <c r="AL104" s="57">
        <v>0</v>
      </c>
      <c r="AM104" s="57">
        <v>0</v>
      </c>
      <c r="AN104" s="61">
        <f t="shared" si="107"/>
        <v>1</v>
      </c>
      <c r="AO104" s="40">
        <f t="shared" si="121"/>
        <v>0</v>
      </c>
      <c r="AP104" s="40">
        <f t="shared" si="122"/>
        <v>0</v>
      </c>
      <c r="AQ104" s="44">
        <f t="shared" si="123"/>
        <v>1160.461763922063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3</v>
      </c>
      <c r="J105" s="212">
        <v>3335.7683299999999</v>
      </c>
      <c r="K105" s="217">
        <f t="shared" si="109"/>
        <v>1111.9227766666666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1148.6162282966663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3445.8486848899993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1217.5332019944665</v>
      </c>
      <c r="V105" s="57">
        <v>0</v>
      </c>
      <c r="W105" s="57">
        <v>0</v>
      </c>
      <c r="X105" s="61">
        <f t="shared" si="104"/>
        <v>3</v>
      </c>
      <c r="Y105" s="40">
        <f t="shared" si="114"/>
        <v>0</v>
      </c>
      <c r="Z105" s="40">
        <f t="shared" si="115"/>
        <v>0</v>
      </c>
      <c r="AA105" s="44">
        <f t="shared" si="116"/>
        <v>3652.5996059833997</v>
      </c>
      <c r="AB105" s="35">
        <f t="shared" si="117"/>
        <v>3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1289.3676609121399</v>
      </c>
      <c r="AD105" s="57">
        <v>0</v>
      </c>
      <c r="AE105" s="57">
        <v>0</v>
      </c>
      <c r="AF105" s="61">
        <f t="shared" si="105"/>
        <v>3</v>
      </c>
      <c r="AG105" s="40">
        <f t="shared" si="118"/>
        <v>0</v>
      </c>
      <c r="AH105" s="40">
        <f t="shared" si="119"/>
        <v>0</v>
      </c>
      <c r="AI105" s="44">
        <f t="shared" si="120"/>
        <v>3868.1029827364196</v>
      </c>
      <c r="AJ105" s="35">
        <f t="shared" si="106"/>
        <v>3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1362.8616175841316</v>
      </c>
      <c r="AL105" s="57">
        <v>0</v>
      </c>
      <c r="AM105" s="57">
        <v>0</v>
      </c>
      <c r="AN105" s="61">
        <f t="shared" si="107"/>
        <v>3</v>
      </c>
      <c r="AO105" s="40">
        <f t="shared" si="121"/>
        <v>0</v>
      </c>
      <c r="AP105" s="40">
        <f t="shared" si="122"/>
        <v>0</v>
      </c>
      <c r="AQ105" s="44">
        <f t="shared" si="123"/>
        <v>4088.5848527523949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>
        <v>0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>
        <v>0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12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8004.1503750000002</v>
      </c>
      <c r="K112" s="41">
        <f>IFERROR(J112/I112,"")</f>
        <v>667.01253125000005</v>
      </c>
      <c r="L112" s="41">
        <f>SUM(L92:L111)</f>
        <v>12</v>
      </c>
      <c r="M112" s="41">
        <f>IFERROR(S112/P112,0)</f>
        <v>702.03088167278258</v>
      </c>
      <c r="N112" s="41">
        <f t="shared" ref="N112:T112" si="124">SUM(N92:N111)</f>
        <v>1</v>
      </c>
      <c r="O112" s="41">
        <f t="shared" si="124"/>
        <v>1</v>
      </c>
      <c r="P112" s="41">
        <f t="shared" si="124"/>
        <v>12</v>
      </c>
      <c r="Q112" s="41">
        <f t="shared" si="124"/>
        <v>734.19066666666674</v>
      </c>
      <c r="R112" s="41">
        <f t="shared" si="124"/>
        <v>-735.98400000000004</v>
      </c>
      <c r="S112" s="45">
        <f t="shared" si="124"/>
        <v>8424.3705800733915</v>
      </c>
      <c r="T112" s="41">
        <f t="shared" si="124"/>
        <v>12</v>
      </c>
      <c r="U112" s="41">
        <f>IFERROR(AA112/X112,0)</f>
        <v>747.48941016449442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12</v>
      </c>
      <c r="Y112" s="41">
        <f t="shared" si="125"/>
        <v>0</v>
      </c>
      <c r="Z112" s="41">
        <f t="shared" si="125"/>
        <v>0</v>
      </c>
      <c r="AA112" s="45">
        <f t="shared" si="125"/>
        <v>8969.8729219739325</v>
      </c>
      <c r="AB112" s="41">
        <f t="shared" si="125"/>
        <v>12</v>
      </c>
      <c r="AC112" s="41">
        <f>IFERROR(AI112/AF112,0)</f>
        <v>795.16155770227203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12</v>
      </c>
      <c r="AG112" s="41">
        <f t="shared" si="126"/>
        <v>0</v>
      </c>
      <c r="AH112" s="41">
        <f t="shared" si="126"/>
        <v>0</v>
      </c>
      <c r="AI112" s="45">
        <f t="shared" si="126"/>
        <v>9541.938692427264</v>
      </c>
      <c r="AJ112" s="41">
        <f t="shared" si="126"/>
        <v>12</v>
      </c>
      <c r="AK112" s="41">
        <f>IFERROR(AQ112/AN112,0)</f>
        <v>844.30241913888369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12</v>
      </c>
      <c r="AO112" s="41">
        <f t="shared" si="127"/>
        <v>0</v>
      </c>
      <c r="AP112" s="41">
        <f t="shared" si="127"/>
        <v>0</v>
      </c>
      <c r="AQ112" s="45">
        <f t="shared" si="127"/>
        <v>10131.629029666605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9096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9804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10396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11186.096000000001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671.62941992660853</v>
      </c>
      <c r="T114" s="39"/>
      <c r="U114" s="39"/>
      <c r="V114" s="53"/>
      <c r="W114" s="53"/>
      <c r="X114" s="110"/>
      <c r="Y114" s="39"/>
      <c r="Z114" s="39"/>
      <c r="AA114" s="54">
        <f>AA113-AA112</f>
        <v>834.12707802606747</v>
      </c>
      <c r="AB114" s="39"/>
      <c r="AC114" s="53"/>
      <c r="AD114" s="53"/>
      <c r="AE114" s="110"/>
      <c r="AF114" s="39"/>
      <c r="AG114" s="39"/>
      <c r="AH114" s="39"/>
      <c r="AI114" s="54">
        <f>AI113-AI112</f>
        <v>854.06130757273604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1054.4669703333966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Programme 3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 t="s">
        <v>754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 t="s">
        <v>754</v>
      </c>
      <c r="J131" s="212" t="s">
        <v>754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 t="s">
        <v>754</v>
      </c>
      <c r="J132" s="212" t="s">
        <v>754</v>
      </c>
      <c r="K132" s="217" t="str">
        <f t="shared" si="135"/>
        <v/>
      </c>
      <c r="L132" s="34">
        <f t="shared" si="128"/>
        <v>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0</v>
      </c>
      <c r="N132" s="57">
        <v>0</v>
      </c>
      <c r="O132" s="57">
        <v>0</v>
      </c>
      <c r="P132" s="61">
        <f t="shared" si="129"/>
        <v>0</v>
      </c>
      <c r="Q132" s="40">
        <f t="shared" si="136"/>
        <v>0</v>
      </c>
      <c r="R132" s="40">
        <f t="shared" si="137"/>
        <v>0</v>
      </c>
      <c r="S132" s="44">
        <f t="shared" si="138"/>
        <v>0</v>
      </c>
      <c r="T132" s="35">
        <f t="shared" si="139"/>
        <v>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0</v>
      </c>
      <c r="V132" s="57">
        <v>0</v>
      </c>
      <c r="W132" s="57">
        <v>0</v>
      </c>
      <c r="X132" s="61">
        <f t="shared" si="130"/>
        <v>0</v>
      </c>
      <c r="Y132" s="40">
        <f t="shared" si="140"/>
        <v>0</v>
      </c>
      <c r="Z132" s="40">
        <f t="shared" si="141"/>
        <v>0</v>
      </c>
      <c r="AA132" s="44">
        <f t="shared" si="142"/>
        <v>0</v>
      </c>
      <c r="AB132" s="35">
        <f t="shared" si="143"/>
        <v>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0</v>
      </c>
      <c r="AD132" s="57">
        <v>0</v>
      </c>
      <c r="AE132" s="57">
        <v>0</v>
      </c>
      <c r="AF132" s="61">
        <f t="shared" si="131"/>
        <v>0</v>
      </c>
      <c r="AG132" s="40">
        <f t="shared" si="144"/>
        <v>0</v>
      </c>
      <c r="AH132" s="40">
        <f t="shared" si="145"/>
        <v>0</v>
      </c>
      <c r="AI132" s="44">
        <f t="shared" si="146"/>
        <v>0</v>
      </c>
      <c r="AJ132" s="35">
        <f t="shared" si="132"/>
        <v>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0</v>
      </c>
      <c r="AL132" s="57">
        <v>0</v>
      </c>
      <c r="AM132" s="57">
        <v>0</v>
      </c>
      <c r="AN132" s="61">
        <f t="shared" si="133"/>
        <v>0</v>
      </c>
      <c r="AO132" s="40">
        <f t="shared" si="147"/>
        <v>0</v>
      </c>
      <c r="AP132" s="40">
        <f t="shared" si="148"/>
        <v>0</v>
      </c>
      <c r="AQ132" s="44">
        <f t="shared" si="149"/>
        <v>0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 t="s">
        <v>754</v>
      </c>
      <c r="J133" s="212" t="s">
        <v>754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0</v>
      </c>
      <c r="N133" s="57">
        <v>0</v>
      </c>
      <c r="O133" s="57">
        <v>0</v>
      </c>
      <c r="P133" s="61">
        <f t="shared" si="129"/>
        <v>0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0</v>
      </c>
      <c r="V133" s="57">
        <v>0</v>
      </c>
      <c r="W133" s="57">
        <v>0</v>
      </c>
      <c r="X133" s="61">
        <f t="shared" si="130"/>
        <v>0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0</v>
      </c>
      <c r="AD133" s="57">
        <v>0</v>
      </c>
      <c r="AE133" s="57">
        <v>0</v>
      </c>
      <c r="AF133" s="61">
        <f t="shared" si="131"/>
        <v>0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0</v>
      </c>
      <c r="AL133" s="57">
        <v>0</v>
      </c>
      <c r="AM133" s="57">
        <v>0</v>
      </c>
      <c r="AN133" s="61">
        <f t="shared" si="133"/>
        <v>0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0</v>
      </c>
      <c r="K140" s="41" t="str">
        <f>IFERROR(J140/I140,"")</f>
        <v/>
      </c>
      <c r="L140" s="41">
        <f>SUM(L120:L139)</f>
        <v>0</v>
      </c>
      <c r="M140" s="41">
        <f>IFERROR(S140/P140,0)</f>
        <v>0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0</v>
      </c>
      <c r="Q140" s="41">
        <f t="shared" si="151"/>
        <v>0</v>
      </c>
      <c r="R140" s="41">
        <f t="shared" si="151"/>
        <v>0</v>
      </c>
      <c r="S140" s="45">
        <f t="shared" si="151"/>
        <v>0</v>
      </c>
      <c r="T140" s="41">
        <f t="shared" si="151"/>
        <v>0</v>
      </c>
      <c r="U140" s="41">
        <f>IFERROR(AA140/X140,0)</f>
        <v>0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0</v>
      </c>
      <c r="Y140" s="41">
        <f t="shared" si="152"/>
        <v>0</v>
      </c>
      <c r="Z140" s="41">
        <f t="shared" si="152"/>
        <v>0</v>
      </c>
      <c r="AA140" s="45">
        <f t="shared" si="152"/>
        <v>0</v>
      </c>
      <c r="AB140" s="41">
        <f t="shared" si="152"/>
        <v>0</v>
      </c>
      <c r="AC140" s="41">
        <f>IFERROR(AI140/AF140,0)</f>
        <v>0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0</v>
      </c>
      <c r="AG140" s="41">
        <f t="shared" si="153"/>
        <v>0</v>
      </c>
      <c r="AH140" s="41">
        <f t="shared" si="153"/>
        <v>0</v>
      </c>
      <c r="AI140" s="45">
        <f t="shared" si="153"/>
        <v>0</v>
      </c>
      <c r="AJ140" s="41">
        <f t="shared" si="153"/>
        <v>0</v>
      </c>
      <c r="AK140" s="41">
        <f>IFERROR(AQ140/AN140,0)</f>
        <v>0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0</v>
      </c>
      <c r="AO140" s="41">
        <f t="shared" si="154"/>
        <v>0</v>
      </c>
      <c r="AP140" s="41">
        <f t="shared" si="154"/>
        <v>0</v>
      </c>
      <c r="AQ140" s="45">
        <f t="shared" si="154"/>
        <v>0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0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0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0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0</v>
      </c>
      <c r="T142" s="39"/>
      <c r="U142" s="39"/>
      <c r="V142" s="53"/>
      <c r="W142" s="53"/>
      <c r="X142" s="110"/>
      <c r="Y142" s="39"/>
      <c r="Z142" s="39"/>
      <c r="AA142" s="54">
        <f>AA141-AA140</f>
        <v>0</v>
      </c>
      <c r="AB142" s="39"/>
      <c r="AC142" s="53"/>
      <c r="AD142" s="53"/>
      <c r="AE142" s="110"/>
      <c r="AF142" s="39"/>
      <c r="AG142" s="39"/>
      <c r="AH142" s="39"/>
      <c r="AI142" s="54">
        <f>AI141-AI140</f>
        <v>0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0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vAgiP2eRsEZMex5dWSWWYWeHCoueyXJisv72o03InaM4uFe1IucKpbTV0Mh/Q0NVoTRGhZpv0VH42yfs0lFasA==" saltValue="538ANBndSp+q+7YKmKj1Y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National Center for Public Service Innovation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47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42671.524428703706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NAT_HRBP__42671.5244287037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HRBP-Vote47.xlsx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df7ca258-5e24-45de-bd31-dbc76bc6765a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